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social.sharepoint.com/sites/PDQI07.UMACE/Documentos Partilhados/General/2. Monitorização/5. Documentos/"/>
    </mc:Choice>
  </mc:AlternateContent>
  <xr:revisionPtr revIDLastSave="118" documentId="8_{BF2E1876-382C-4C84-AFFF-2E8C9E85446D}" xr6:coauthVersionLast="47" xr6:coauthVersionMax="47" xr10:uidLastSave="{610902D8-264D-44B8-9035-6566159839E5}"/>
  <bookViews>
    <workbookView xWindow="-120" yWindow="-120" windowWidth="29040" windowHeight="15720" xr2:uid="{5103F92C-319D-4A7B-92D0-C632BE30D495}"/>
  </bookViews>
  <sheets>
    <sheet name="Template" sheetId="2" r:id="rId1"/>
    <sheet name="TD" sheetId="1" state="hidden" r:id="rId2"/>
  </sheets>
  <definedNames>
    <definedName name="Bolsas">TD!$C$91:$C$99</definedName>
    <definedName name="Medidas_Ativas">TD!$B$91:$B$120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56" i="1" l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B2147" i="1"/>
  <c r="A2147" i="1"/>
  <c r="B2146" i="1"/>
  <c r="A2146" i="1"/>
  <c r="B2145" i="1"/>
  <c r="A2145" i="1"/>
  <c r="B2144" i="1"/>
  <c r="A2144" i="1"/>
  <c r="B2143" i="1"/>
  <c r="A2143" i="1"/>
  <c r="B2142" i="1"/>
  <c r="A2142" i="1"/>
  <c r="B2141" i="1"/>
  <c r="A2141" i="1"/>
  <c r="B2140" i="1"/>
  <c r="A2140" i="1"/>
  <c r="B2139" i="1"/>
  <c r="A2139" i="1"/>
  <c r="B2138" i="1"/>
  <c r="A2138" i="1"/>
  <c r="B2137" i="1"/>
  <c r="A2137" i="1"/>
  <c r="B2136" i="1"/>
  <c r="A2136" i="1"/>
  <c r="B2135" i="1"/>
  <c r="A2135" i="1"/>
  <c r="B2134" i="1"/>
  <c r="A2134" i="1"/>
  <c r="B2133" i="1"/>
  <c r="A2133" i="1"/>
  <c r="B2132" i="1"/>
  <c r="A2132" i="1"/>
  <c r="B2131" i="1"/>
  <c r="A2131" i="1"/>
  <c r="B2130" i="1"/>
  <c r="A2130" i="1"/>
  <c r="B2129" i="1"/>
  <c r="A2129" i="1"/>
  <c r="B2128" i="1"/>
  <c r="A2128" i="1"/>
  <c r="B2127" i="1"/>
  <c r="A2127" i="1"/>
  <c r="B2126" i="1"/>
  <c r="A2126" i="1"/>
  <c r="B2125" i="1"/>
  <c r="A2125" i="1"/>
  <c r="B2124" i="1"/>
  <c r="A2124" i="1"/>
  <c r="B2123" i="1"/>
  <c r="A2123" i="1"/>
  <c r="B2122" i="1"/>
  <c r="A2122" i="1"/>
  <c r="B2121" i="1"/>
  <c r="A2121" i="1"/>
  <c r="B2120" i="1"/>
  <c r="A2120" i="1"/>
  <c r="B2119" i="1"/>
  <c r="A2119" i="1"/>
  <c r="B2118" i="1"/>
  <c r="A2118" i="1"/>
  <c r="B2117" i="1"/>
  <c r="A2117" i="1"/>
  <c r="B2116" i="1"/>
  <c r="A2116" i="1"/>
  <c r="B2115" i="1"/>
  <c r="A2115" i="1"/>
  <c r="B2114" i="1"/>
  <c r="A2114" i="1"/>
  <c r="B2113" i="1"/>
  <c r="A2113" i="1"/>
  <c r="B2112" i="1"/>
  <c r="A2112" i="1"/>
  <c r="B2111" i="1"/>
  <c r="A2111" i="1"/>
  <c r="B2110" i="1"/>
  <c r="A2110" i="1"/>
  <c r="B2109" i="1"/>
  <c r="A2109" i="1"/>
  <c r="B2108" i="1"/>
  <c r="A2108" i="1"/>
  <c r="B2107" i="1"/>
  <c r="A2107" i="1"/>
  <c r="B2106" i="1"/>
  <c r="A2106" i="1"/>
  <c r="B2105" i="1"/>
  <c r="A2105" i="1"/>
  <c r="B2104" i="1"/>
  <c r="A2104" i="1"/>
  <c r="B2103" i="1"/>
  <c r="A2103" i="1"/>
  <c r="B2102" i="1"/>
  <c r="A2102" i="1"/>
  <c r="B2101" i="1"/>
  <c r="A2101" i="1"/>
  <c r="B2100" i="1"/>
  <c r="A2100" i="1"/>
  <c r="B2099" i="1"/>
  <c r="A2099" i="1"/>
  <c r="B2098" i="1"/>
  <c r="A2098" i="1"/>
  <c r="B2097" i="1"/>
  <c r="A2097" i="1"/>
  <c r="B2096" i="1"/>
  <c r="A2096" i="1"/>
  <c r="B2095" i="1"/>
  <c r="A2095" i="1"/>
  <c r="B2094" i="1"/>
  <c r="A2094" i="1"/>
  <c r="B2093" i="1"/>
  <c r="A2093" i="1"/>
  <c r="B2092" i="1"/>
  <c r="A2092" i="1"/>
  <c r="B2091" i="1"/>
  <c r="A2091" i="1"/>
  <c r="B2090" i="1"/>
  <c r="A2090" i="1"/>
  <c r="B2089" i="1"/>
  <c r="A2089" i="1"/>
  <c r="B2088" i="1"/>
  <c r="A2088" i="1"/>
  <c r="B2087" i="1"/>
  <c r="A2087" i="1"/>
  <c r="B2086" i="1"/>
  <c r="A2086" i="1"/>
  <c r="B2085" i="1"/>
  <c r="A2085" i="1"/>
  <c r="B2084" i="1"/>
  <c r="A2084" i="1"/>
  <c r="B2083" i="1"/>
  <c r="A2083" i="1"/>
  <c r="B2082" i="1"/>
  <c r="A2082" i="1"/>
  <c r="B2081" i="1"/>
  <c r="A2081" i="1"/>
  <c r="B2080" i="1"/>
  <c r="A2080" i="1"/>
  <c r="B2079" i="1"/>
  <c r="A2079" i="1"/>
  <c r="B2078" i="1"/>
  <c r="A2078" i="1"/>
  <c r="B2077" i="1"/>
  <c r="A2077" i="1"/>
  <c r="B2076" i="1"/>
  <c r="A2076" i="1"/>
  <c r="B2075" i="1"/>
  <c r="A2075" i="1"/>
  <c r="B2074" i="1"/>
  <c r="A2074" i="1"/>
  <c r="B2073" i="1"/>
  <c r="A2073" i="1"/>
  <c r="B2072" i="1"/>
  <c r="A2072" i="1"/>
  <c r="B2071" i="1"/>
  <c r="A2071" i="1"/>
  <c r="B2070" i="1"/>
  <c r="A2070" i="1"/>
  <c r="B2069" i="1"/>
  <c r="A2069" i="1"/>
  <c r="B2068" i="1"/>
  <c r="A2068" i="1"/>
  <c r="B2067" i="1"/>
  <c r="A2067" i="1"/>
  <c r="B2066" i="1"/>
  <c r="A2066" i="1"/>
  <c r="B2065" i="1"/>
  <c r="A2065" i="1"/>
  <c r="B2064" i="1"/>
  <c r="A2064" i="1"/>
  <c r="B2063" i="1"/>
  <c r="A2063" i="1"/>
  <c r="B2062" i="1"/>
  <c r="A2062" i="1"/>
  <c r="B2061" i="1"/>
  <c r="A2061" i="1"/>
  <c r="B2060" i="1"/>
  <c r="A2060" i="1"/>
  <c r="B2059" i="1"/>
  <c r="A2059" i="1"/>
  <c r="B2058" i="1"/>
  <c r="A2058" i="1"/>
  <c r="B2057" i="1"/>
  <c r="A2057" i="1"/>
  <c r="B2056" i="1"/>
  <c r="A2056" i="1"/>
  <c r="B2055" i="1"/>
  <c r="A2055" i="1"/>
  <c r="B2054" i="1"/>
  <c r="A2054" i="1"/>
  <c r="B2053" i="1"/>
  <c r="A2053" i="1"/>
  <c r="B2052" i="1"/>
  <c r="A2052" i="1"/>
  <c r="B2051" i="1"/>
  <c r="A2051" i="1"/>
  <c r="B2050" i="1"/>
  <c r="A2050" i="1"/>
  <c r="B2049" i="1"/>
  <c r="A2049" i="1"/>
  <c r="B2048" i="1"/>
  <c r="A2048" i="1"/>
  <c r="B2047" i="1"/>
  <c r="A2047" i="1"/>
  <c r="B2046" i="1"/>
  <c r="A2046" i="1"/>
  <c r="B2045" i="1"/>
  <c r="A2045" i="1"/>
  <c r="B2044" i="1"/>
  <c r="A2044" i="1"/>
  <c r="B2043" i="1"/>
  <c r="A2043" i="1"/>
  <c r="B2042" i="1"/>
  <c r="A2042" i="1"/>
  <c r="B2041" i="1"/>
  <c r="A2041" i="1"/>
  <c r="B2040" i="1"/>
  <c r="A2040" i="1"/>
  <c r="B2039" i="1"/>
  <c r="A2039" i="1"/>
  <c r="B2038" i="1"/>
  <c r="A2038" i="1"/>
  <c r="B2037" i="1"/>
  <c r="A2037" i="1"/>
  <c r="B2036" i="1"/>
  <c r="A2036" i="1"/>
  <c r="B2035" i="1"/>
  <c r="A2035" i="1"/>
  <c r="B2034" i="1"/>
  <c r="A2034" i="1"/>
  <c r="B2033" i="1"/>
  <c r="A2033" i="1"/>
  <c r="B2032" i="1"/>
  <c r="A2032" i="1"/>
  <c r="B2031" i="1"/>
  <c r="A2031" i="1"/>
  <c r="B2030" i="1"/>
  <c r="A2030" i="1"/>
  <c r="B2029" i="1"/>
  <c r="A2029" i="1"/>
  <c r="B2028" i="1"/>
  <c r="A2028" i="1"/>
  <c r="B2027" i="1"/>
  <c r="A2027" i="1"/>
  <c r="B2026" i="1"/>
  <c r="A2026" i="1"/>
  <c r="B2025" i="1"/>
  <c r="A2025" i="1"/>
  <c r="B2024" i="1"/>
  <c r="A2024" i="1"/>
  <c r="B2023" i="1"/>
  <c r="A2023" i="1"/>
  <c r="B2022" i="1"/>
  <c r="A2022" i="1"/>
  <c r="B2021" i="1"/>
  <c r="A2021" i="1"/>
  <c r="B2020" i="1"/>
  <c r="A2020" i="1"/>
  <c r="B2019" i="1"/>
  <c r="A2019" i="1"/>
  <c r="B2018" i="1"/>
  <c r="A2018" i="1"/>
  <c r="B2017" i="1"/>
  <c r="A2017" i="1"/>
  <c r="B2016" i="1"/>
  <c r="A2016" i="1"/>
  <c r="B2015" i="1"/>
  <c r="A2015" i="1"/>
  <c r="B2014" i="1"/>
  <c r="A2014" i="1"/>
  <c r="B2013" i="1"/>
  <c r="A2013" i="1"/>
  <c r="B2012" i="1"/>
  <c r="A2012" i="1"/>
  <c r="B2011" i="1"/>
  <c r="A2011" i="1"/>
  <c r="B2010" i="1"/>
  <c r="A2010" i="1"/>
  <c r="B2009" i="1"/>
  <c r="A2009" i="1"/>
  <c r="B2008" i="1"/>
  <c r="A2008" i="1"/>
  <c r="B2007" i="1"/>
  <c r="A2007" i="1"/>
  <c r="B2006" i="1"/>
  <c r="A2006" i="1"/>
  <c r="B2005" i="1"/>
  <c r="A2005" i="1"/>
  <c r="B2004" i="1"/>
  <c r="A2004" i="1"/>
  <c r="B2003" i="1"/>
  <c r="A2003" i="1"/>
  <c r="B2002" i="1"/>
  <c r="A2002" i="1"/>
  <c r="B2001" i="1"/>
  <c r="A2001" i="1"/>
  <c r="B2000" i="1"/>
  <c r="A2000" i="1"/>
  <c r="B1999" i="1"/>
  <c r="A1999" i="1"/>
  <c r="B1998" i="1"/>
  <c r="A1998" i="1"/>
  <c r="B1997" i="1"/>
  <c r="A1997" i="1"/>
  <c r="B1996" i="1"/>
  <c r="A1996" i="1"/>
  <c r="B1995" i="1"/>
  <c r="A1995" i="1"/>
  <c r="B1994" i="1"/>
  <c r="A1994" i="1"/>
  <c r="B1993" i="1"/>
  <c r="A1993" i="1"/>
  <c r="B1992" i="1"/>
  <c r="A1992" i="1"/>
  <c r="B1991" i="1"/>
  <c r="A1991" i="1"/>
  <c r="B1990" i="1"/>
  <c r="A1990" i="1"/>
  <c r="B1989" i="1"/>
  <c r="A1989" i="1"/>
  <c r="B1988" i="1"/>
  <c r="A1988" i="1"/>
  <c r="B1987" i="1"/>
  <c r="A1987" i="1"/>
  <c r="B1986" i="1"/>
  <c r="A1986" i="1"/>
  <c r="B1985" i="1"/>
  <c r="A1985" i="1"/>
  <c r="B1984" i="1"/>
  <c r="A1984" i="1"/>
  <c r="B1983" i="1"/>
  <c r="A1983" i="1"/>
  <c r="B1982" i="1"/>
  <c r="A1982" i="1"/>
  <c r="B1981" i="1"/>
  <c r="A1981" i="1"/>
  <c r="B1980" i="1"/>
  <c r="A1980" i="1"/>
  <c r="B1979" i="1"/>
  <c r="A1979" i="1"/>
  <c r="B1978" i="1"/>
  <c r="A1978" i="1"/>
  <c r="B1977" i="1"/>
  <c r="A1977" i="1"/>
  <c r="B1976" i="1"/>
  <c r="A1976" i="1"/>
  <c r="B1975" i="1"/>
  <c r="A1975" i="1"/>
  <c r="B1974" i="1"/>
  <c r="A1974" i="1"/>
  <c r="B1973" i="1"/>
  <c r="A1973" i="1"/>
  <c r="B1972" i="1"/>
  <c r="A1972" i="1"/>
  <c r="B1971" i="1"/>
  <c r="A1971" i="1"/>
  <c r="B1970" i="1"/>
  <c r="A1970" i="1"/>
  <c r="B1969" i="1"/>
  <c r="A1969" i="1"/>
  <c r="B1968" i="1"/>
  <c r="A1968" i="1"/>
  <c r="B1967" i="1"/>
  <c r="A1967" i="1"/>
  <c r="B1966" i="1"/>
  <c r="A1966" i="1"/>
  <c r="B1965" i="1"/>
  <c r="A1965" i="1"/>
  <c r="B1964" i="1"/>
  <c r="A1964" i="1"/>
  <c r="B1963" i="1"/>
  <c r="A1963" i="1"/>
  <c r="B1962" i="1"/>
  <c r="A1962" i="1"/>
  <c r="B1961" i="1"/>
  <c r="A1961" i="1"/>
  <c r="B1960" i="1"/>
  <c r="A1960" i="1"/>
  <c r="B1959" i="1"/>
  <c r="A1959" i="1"/>
  <c r="B1958" i="1"/>
  <c r="A1958" i="1"/>
  <c r="B1957" i="1"/>
  <c r="A1957" i="1"/>
  <c r="B1956" i="1"/>
  <c r="A1956" i="1"/>
  <c r="B1955" i="1"/>
  <c r="A1955" i="1"/>
  <c r="B1954" i="1"/>
  <c r="A1954" i="1"/>
  <c r="B1953" i="1"/>
  <c r="A1953" i="1"/>
  <c r="B1952" i="1"/>
  <c r="A1952" i="1"/>
  <c r="B1951" i="1"/>
  <c r="A1951" i="1"/>
  <c r="B1950" i="1"/>
  <c r="A1950" i="1"/>
  <c r="B1949" i="1"/>
  <c r="A1949" i="1"/>
  <c r="B1948" i="1"/>
  <c r="A1948" i="1"/>
  <c r="B1947" i="1"/>
  <c r="A1947" i="1"/>
  <c r="B1946" i="1"/>
  <c r="A1946" i="1"/>
  <c r="B1945" i="1"/>
  <c r="A1945" i="1"/>
  <c r="B1944" i="1"/>
  <c r="A1944" i="1"/>
  <c r="B1943" i="1"/>
  <c r="A1943" i="1"/>
  <c r="B1942" i="1"/>
  <c r="A1942" i="1"/>
  <c r="B1941" i="1"/>
  <c r="A1941" i="1"/>
  <c r="B1940" i="1"/>
  <c r="A1940" i="1"/>
  <c r="B1939" i="1"/>
  <c r="A1939" i="1"/>
  <c r="B1938" i="1"/>
  <c r="A1938" i="1"/>
  <c r="B1937" i="1"/>
  <c r="A1937" i="1"/>
  <c r="B1936" i="1"/>
  <c r="A1936" i="1"/>
  <c r="B1935" i="1"/>
  <c r="A1935" i="1"/>
  <c r="B1934" i="1"/>
  <c r="A1934" i="1"/>
  <c r="B1933" i="1"/>
  <c r="A1933" i="1"/>
  <c r="B1932" i="1"/>
  <c r="A1932" i="1"/>
  <c r="B1931" i="1"/>
  <c r="A1931" i="1"/>
  <c r="B1930" i="1"/>
  <c r="A1930" i="1"/>
  <c r="B1929" i="1"/>
  <c r="A1929" i="1"/>
  <c r="B1928" i="1"/>
  <c r="A1928" i="1"/>
  <c r="B1927" i="1"/>
  <c r="A1927" i="1"/>
  <c r="B1926" i="1"/>
  <c r="A1926" i="1"/>
  <c r="B1925" i="1"/>
  <c r="A1925" i="1"/>
  <c r="B1924" i="1"/>
  <c r="A1924" i="1"/>
  <c r="B1923" i="1"/>
  <c r="A1923" i="1"/>
  <c r="B1922" i="1"/>
  <c r="A1922" i="1"/>
  <c r="B1921" i="1"/>
  <c r="A1921" i="1"/>
  <c r="B1920" i="1"/>
  <c r="A1920" i="1"/>
  <c r="B1919" i="1"/>
  <c r="A1919" i="1"/>
  <c r="B1918" i="1"/>
  <c r="A1918" i="1"/>
  <c r="B1917" i="1"/>
  <c r="A1917" i="1"/>
  <c r="B1916" i="1"/>
  <c r="A1916" i="1"/>
  <c r="B1915" i="1"/>
  <c r="A1915" i="1"/>
  <c r="B1914" i="1"/>
  <c r="A1914" i="1"/>
  <c r="B1913" i="1"/>
  <c r="A1913" i="1"/>
  <c r="B1912" i="1"/>
  <c r="A1912" i="1"/>
  <c r="B1911" i="1"/>
  <c r="A1911" i="1"/>
  <c r="B1910" i="1"/>
  <c r="A1910" i="1"/>
  <c r="B1909" i="1"/>
  <c r="A1909" i="1"/>
  <c r="B1908" i="1"/>
  <c r="A1908" i="1"/>
  <c r="B1907" i="1"/>
  <c r="A1907" i="1"/>
  <c r="B1906" i="1"/>
  <c r="A1906" i="1"/>
  <c r="B1905" i="1"/>
  <c r="A1905" i="1"/>
  <c r="B1904" i="1"/>
  <c r="A1904" i="1"/>
  <c r="B1903" i="1"/>
  <c r="A1903" i="1"/>
  <c r="B1902" i="1"/>
  <c r="A1902" i="1"/>
  <c r="B1901" i="1"/>
  <c r="A1901" i="1"/>
  <c r="B1900" i="1"/>
  <c r="A1900" i="1"/>
  <c r="B1899" i="1"/>
  <c r="A1899" i="1"/>
  <c r="B1898" i="1"/>
  <c r="A1898" i="1"/>
  <c r="B1897" i="1"/>
  <c r="A1897" i="1"/>
  <c r="B1896" i="1"/>
  <c r="A1896" i="1"/>
  <c r="B1895" i="1"/>
  <c r="A1895" i="1"/>
  <c r="B1894" i="1"/>
  <c r="A1894" i="1"/>
  <c r="B1893" i="1"/>
  <c r="A1893" i="1"/>
  <c r="B1892" i="1"/>
  <c r="A1892" i="1"/>
  <c r="B1891" i="1"/>
  <c r="A1891" i="1"/>
  <c r="B1890" i="1"/>
  <c r="A1890" i="1"/>
  <c r="B1889" i="1"/>
  <c r="A1889" i="1"/>
  <c r="B1888" i="1"/>
  <c r="A1888" i="1"/>
  <c r="B1887" i="1"/>
  <c r="A1887" i="1"/>
  <c r="B1886" i="1"/>
  <c r="A1886" i="1"/>
  <c r="B1885" i="1"/>
  <c r="A1885" i="1"/>
  <c r="B1884" i="1"/>
  <c r="A1884" i="1"/>
  <c r="B1883" i="1"/>
  <c r="A1883" i="1"/>
  <c r="B1882" i="1"/>
  <c r="A1882" i="1"/>
  <c r="B1881" i="1"/>
  <c r="A1881" i="1"/>
  <c r="B1880" i="1"/>
  <c r="A1880" i="1"/>
  <c r="B1879" i="1"/>
  <c r="A1879" i="1"/>
  <c r="B1878" i="1"/>
  <c r="A1878" i="1"/>
  <c r="B1877" i="1"/>
  <c r="A1877" i="1"/>
  <c r="B1876" i="1"/>
  <c r="A1876" i="1"/>
  <c r="B1875" i="1"/>
  <c r="A1875" i="1"/>
  <c r="B1874" i="1"/>
  <c r="A1874" i="1"/>
  <c r="B1873" i="1"/>
  <c r="A1873" i="1"/>
  <c r="B1872" i="1"/>
  <c r="A1872" i="1"/>
  <c r="B1871" i="1"/>
  <c r="A1871" i="1"/>
  <c r="B1870" i="1"/>
  <c r="A1870" i="1"/>
  <c r="B1869" i="1"/>
  <c r="A1869" i="1"/>
  <c r="B1868" i="1"/>
  <c r="A1868" i="1"/>
  <c r="B1867" i="1"/>
  <c r="A1867" i="1"/>
  <c r="B1866" i="1"/>
  <c r="A1866" i="1"/>
  <c r="B1865" i="1"/>
  <c r="A1865" i="1"/>
  <c r="B1864" i="1"/>
  <c r="A1864" i="1"/>
  <c r="B1863" i="1"/>
  <c r="A1863" i="1"/>
  <c r="B1862" i="1"/>
  <c r="A1862" i="1"/>
  <c r="B1861" i="1"/>
  <c r="A1861" i="1"/>
  <c r="B1860" i="1"/>
  <c r="A1860" i="1"/>
  <c r="B1859" i="1"/>
  <c r="A1859" i="1"/>
  <c r="B1858" i="1"/>
  <c r="A1858" i="1"/>
  <c r="B1857" i="1"/>
  <c r="A1857" i="1"/>
  <c r="B1856" i="1"/>
  <c r="A1856" i="1"/>
  <c r="B1855" i="1"/>
  <c r="A1855" i="1"/>
  <c r="B1854" i="1"/>
  <c r="A1854" i="1"/>
  <c r="B1853" i="1"/>
  <c r="A1853" i="1"/>
  <c r="B1852" i="1"/>
  <c r="A1852" i="1"/>
  <c r="B1851" i="1"/>
  <c r="A1851" i="1"/>
  <c r="B1850" i="1"/>
  <c r="A1850" i="1"/>
  <c r="B1849" i="1"/>
  <c r="A1849" i="1"/>
  <c r="B1848" i="1"/>
  <c r="A1848" i="1"/>
  <c r="B1847" i="1"/>
  <c r="A1847" i="1"/>
  <c r="B1846" i="1"/>
  <c r="A1846" i="1"/>
  <c r="B1845" i="1"/>
  <c r="A1845" i="1"/>
  <c r="B1844" i="1"/>
  <c r="A1844" i="1"/>
  <c r="B1843" i="1"/>
  <c r="A1843" i="1"/>
  <c r="B1842" i="1"/>
  <c r="A1842" i="1"/>
  <c r="B1841" i="1"/>
  <c r="A1841" i="1"/>
  <c r="B1840" i="1"/>
  <c r="A1840" i="1"/>
  <c r="B1839" i="1"/>
  <c r="A1839" i="1"/>
  <c r="B1838" i="1"/>
  <c r="A1838" i="1"/>
  <c r="B1837" i="1"/>
  <c r="A1837" i="1"/>
  <c r="B1836" i="1"/>
  <c r="A1836" i="1"/>
  <c r="B1835" i="1"/>
  <c r="A1835" i="1"/>
  <c r="B1834" i="1"/>
  <c r="A1834" i="1"/>
  <c r="B1833" i="1"/>
  <c r="A1833" i="1"/>
  <c r="B1832" i="1"/>
  <c r="A1832" i="1"/>
  <c r="B1831" i="1"/>
  <c r="A1831" i="1"/>
  <c r="B1830" i="1"/>
  <c r="A1830" i="1"/>
  <c r="B1829" i="1"/>
  <c r="A1829" i="1"/>
  <c r="B1828" i="1"/>
  <c r="A1828" i="1"/>
  <c r="B1827" i="1"/>
  <c r="A1827" i="1"/>
  <c r="B1826" i="1"/>
  <c r="A1826" i="1"/>
  <c r="B1825" i="1"/>
  <c r="A1825" i="1"/>
  <c r="B1824" i="1"/>
  <c r="A1824" i="1"/>
  <c r="B1823" i="1"/>
  <c r="A1823" i="1"/>
  <c r="B1822" i="1"/>
  <c r="A1822" i="1"/>
  <c r="B1821" i="1"/>
  <c r="A1821" i="1"/>
  <c r="B1820" i="1"/>
  <c r="A1820" i="1"/>
  <c r="B1819" i="1"/>
  <c r="A1819" i="1"/>
  <c r="B1818" i="1"/>
  <c r="A1818" i="1"/>
  <c r="B1817" i="1"/>
  <c r="A1817" i="1"/>
  <c r="B1816" i="1"/>
  <c r="A1816" i="1"/>
  <c r="B1815" i="1"/>
  <c r="A1815" i="1"/>
  <c r="B1814" i="1"/>
  <c r="A1814" i="1"/>
  <c r="B1813" i="1"/>
  <c r="A1813" i="1"/>
  <c r="B1812" i="1"/>
  <c r="A1812" i="1"/>
  <c r="B1811" i="1"/>
  <c r="A1811" i="1"/>
  <c r="B1810" i="1"/>
  <c r="A1810" i="1"/>
  <c r="B1809" i="1"/>
  <c r="A1809" i="1"/>
  <c r="B1808" i="1"/>
  <c r="A1808" i="1"/>
  <c r="B1807" i="1"/>
  <c r="A1807" i="1"/>
  <c r="B1806" i="1"/>
  <c r="A1806" i="1"/>
  <c r="B1805" i="1"/>
  <c r="A1805" i="1"/>
  <c r="B1804" i="1"/>
  <c r="A1804" i="1"/>
  <c r="B1803" i="1"/>
  <c r="A1803" i="1"/>
  <c r="B1802" i="1"/>
  <c r="A1802" i="1"/>
  <c r="B1801" i="1"/>
  <c r="A1801" i="1"/>
  <c r="B1800" i="1"/>
  <c r="A1800" i="1"/>
  <c r="B1799" i="1"/>
  <c r="A1799" i="1"/>
  <c r="B1798" i="1"/>
  <c r="A1798" i="1"/>
  <c r="B1797" i="1"/>
  <c r="A1797" i="1"/>
  <c r="B1796" i="1"/>
  <c r="A1796" i="1"/>
  <c r="B1795" i="1"/>
  <c r="A1795" i="1"/>
  <c r="B1794" i="1"/>
  <c r="A1794" i="1"/>
  <c r="B1793" i="1"/>
  <c r="A1793" i="1"/>
  <c r="B1792" i="1"/>
  <c r="A1792" i="1"/>
  <c r="B1791" i="1"/>
  <c r="A1791" i="1"/>
  <c r="B1790" i="1"/>
  <c r="A1790" i="1"/>
  <c r="B1789" i="1"/>
  <c r="A1789" i="1"/>
  <c r="B1788" i="1"/>
  <c r="A1788" i="1"/>
  <c r="B1787" i="1"/>
  <c r="A1787" i="1"/>
  <c r="B1786" i="1"/>
  <c r="A1786" i="1"/>
  <c r="B1785" i="1"/>
  <c r="A1785" i="1"/>
  <c r="B1784" i="1"/>
  <c r="A1784" i="1"/>
  <c r="B1783" i="1"/>
  <c r="A1783" i="1"/>
  <c r="B1782" i="1"/>
  <c r="A1782" i="1"/>
  <c r="B1781" i="1"/>
  <c r="A1781" i="1"/>
  <c r="B1780" i="1"/>
  <c r="A1780" i="1"/>
  <c r="B1779" i="1"/>
  <c r="A1779" i="1"/>
  <c r="B1778" i="1"/>
  <c r="A1778" i="1"/>
  <c r="B1777" i="1"/>
  <c r="A1777" i="1"/>
  <c r="B1776" i="1"/>
  <c r="A1776" i="1"/>
  <c r="B1775" i="1"/>
  <c r="A1775" i="1"/>
  <c r="B1774" i="1"/>
  <c r="A1774" i="1"/>
  <c r="B1773" i="1"/>
  <c r="A1773" i="1"/>
  <c r="B1772" i="1"/>
  <c r="A1772" i="1"/>
  <c r="B1771" i="1"/>
  <c r="A1771" i="1"/>
  <c r="B1770" i="1"/>
  <c r="A1770" i="1"/>
  <c r="B1769" i="1"/>
  <c r="A1769" i="1"/>
  <c r="B1768" i="1"/>
  <c r="A1768" i="1"/>
  <c r="B1767" i="1"/>
  <c r="A1767" i="1"/>
  <c r="B1766" i="1"/>
  <c r="A1766" i="1"/>
  <c r="B1765" i="1"/>
  <c r="A1765" i="1"/>
  <c r="B1764" i="1"/>
  <c r="A1764" i="1"/>
  <c r="B1763" i="1"/>
  <c r="A1763" i="1"/>
  <c r="B1762" i="1"/>
  <c r="A1762" i="1"/>
  <c r="B1761" i="1"/>
  <c r="A1761" i="1"/>
  <c r="B1760" i="1"/>
  <c r="A1760" i="1"/>
  <c r="B1759" i="1"/>
  <c r="A1759" i="1"/>
  <c r="B1758" i="1"/>
  <c r="A1758" i="1"/>
  <c r="B1757" i="1"/>
  <c r="A1757" i="1"/>
  <c r="B1756" i="1"/>
  <c r="A1756" i="1"/>
  <c r="B1755" i="1"/>
  <c r="A1755" i="1"/>
  <c r="B1754" i="1"/>
  <c r="A1754" i="1"/>
  <c r="B1753" i="1"/>
  <c r="A1753" i="1"/>
  <c r="B1752" i="1"/>
  <c r="A1752" i="1"/>
  <c r="B1751" i="1"/>
  <c r="A1751" i="1"/>
  <c r="B1750" i="1"/>
  <c r="A1750" i="1"/>
  <c r="B1749" i="1"/>
  <c r="A1749" i="1"/>
  <c r="B1748" i="1"/>
  <c r="A1748" i="1"/>
  <c r="B1747" i="1"/>
  <c r="A1747" i="1"/>
  <c r="B1746" i="1"/>
  <c r="A1746" i="1"/>
  <c r="B1745" i="1"/>
  <c r="A1745" i="1"/>
  <c r="B1744" i="1"/>
  <c r="A1744" i="1"/>
  <c r="B1743" i="1"/>
  <c r="A1743" i="1"/>
  <c r="B1742" i="1"/>
  <c r="A1742" i="1"/>
  <c r="B1741" i="1"/>
  <c r="A1741" i="1"/>
  <c r="B1740" i="1"/>
  <c r="A1740" i="1"/>
  <c r="B1739" i="1"/>
  <c r="A1739" i="1"/>
  <c r="B1738" i="1"/>
  <c r="A1738" i="1"/>
  <c r="B1737" i="1"/>
  <c r="A1737" i="1"/>
  <c r="B1736" i="1"/>
  <c r="A1736" i="1"/>
  <c r="B1735" i="1"/>
  <c r="A1735" i="1"/>
  <c r="B1734" i="1"/>
  <c r="A1734" i="1"/>
  <c r="B1733" i="1"/>
  <c r="A1733" i="1"/>
  <c r="B1732" i="1"/>
  <c r="A1732" i="1"/>
  <c r="B1731" i="1"/>
  <c r="A1731" i="1"/>
  <c r="B1730" i="1"/>
  <c r="A1730" i="1"/>
  <c r="B1729" i="1"/>
  <c r="A1729" i="1"/>
  <c r="B1728" i="1"/>
  <c r="A1728" i="1"/>
  <c r="B1727" i="1"/>
  <c r="A1727" i="1"/>
  <c r="B1726" i="1"/>
  <c r="A1726" i="1"/>
  <c r="B1725" i="1"/>
  <c r="A1725" i="1"/>
  <c r="B1724" i="1"/>
  <c r="A1724" i="1"/>
  <c r="B1723" i="1"/>
  <c r="A1723" i="1"/>
  <c r="B1722" i="1"/>
  <c r="A1722" i="1"/>
  <c r="B1721" i="1"/>
  <c r="A1721" i="1"/>
  <c r="B1720" i="1"/>
  <c r="A1720" i="1"/>
  <c r="B1719" i="1"/>
  <c r="A1719" i="1"/>
  <c r="B1718" i="1"/>
  <c r="A1718" i="1"/>
  <c r="B1717" i="1"/>
  <c r="A1717" i="1"/>
  <c r="B1716" i="1"/>
  <c r="A1716" i="1"/>
  <c r="B1715" i="1"/>
  <c r="A1715" i="1"/>
  <c r="B1714" i="1"/>
  <c r="A1714" i="1"/>
  <c r="B1713" i="1"/>
  <c r="A1713" i="1"/>
  <c r="B1712" i="1"/>
  <c r="A1712" i="1"/>
  <c r="B1711" i="1"/>
  <c r="A1711" i="1"/>
  <c r="B1710" i="1"/>
  <c r="A1710" i="1"/>
  <c r="B1709" i="1"/>
  <c r="A1709" i="1"/>
  <c r="B1708" i="1"/>
  <c r="A1708" i="1"/>
  <c r="B1707" i="1"/>
  <c r="A1707" i="1"/>
  <c r="B1706" i="1"/>
  <c r="A1706" i="1"/>
  <c r="B1705" i="1"/>
  <c r="A1705" i="1"/>
  <c r="B1704" i="1"/>
  <c r="A1704" i="1"/>
  <c r="B1703" i="1"/>
  <c r="A1703" i="1"/>
  <c r="B1702" i="1"/>
  <c r="A1702" i="1"/>
  <c r="B1701" i="1"/>
  <c r="A1701" i="1"/>
  <c r="B1700" i="1"/>
  <c r="A1700" i="1"/>
  <c r="B1699" i="1"/>
  <c r="A1699" i="1"/>
  <c r="B1698" i="1"/>
  <c r="A1698" i="1"/>
  <c r="B1697" i="1"/>
  <c r="A1697" i="1"/>
  <c r="B1696" i="1"/>
  <c r="A1696" i="1"/>
  <c r="B1695" i="1"/>
  <c r="A1695" i="1"/>
  <c r="B1694" i="1"/>
  <c r="A1694" i="1"/>
  <c r="B1693" i="1"/>
  <c r="A1693" i="1"/>
  <c r="B1692" i="1"/>
  <c r="A1692" i="1"/>
  <c r="B1691" i="1"/>
  <c r="A1691" i="1"/>
  <c r="B1690" i="1"/>
  <c r="A1690" i="1"/>
  <c r="B1689" i="1"/>
  <c r="A1689" i="1"/>
  <c r="B1688" i="1"/>
  <c r="A1688" i="1"/>
  <c r="B1687" i="1"/>
  <c r="A1687" i="1"/>
  <c r="B1686" i="1"/>
  <c r="A1686" i="1"/>
  <c r="B1685" i="1"/>
  <c r="A1685" i="1"/>
  <c r="B1684" i="1"/>
  <c r="A1684" i="1"/>
  <c r="B1683" i="1"/>
  <c r="A1683" i="1"/>
  <c r="B1682" i="1"/>
  <c r="A1682" i="1"/>
  <c r="B1681" i="1"/>
  <c r="A1681" i="1"/>
  <c r="B1680" i="1"/>
  <c r="A1680" i="1"/>
  <c r="B1679" i="1"/>
  <c r="A1679" i="1"/>
  <c r="B1678" i="1"/>
  <c r="A1678" i="1"/>
  <c r="B1677" i="1"/>
  <c r="A1677" i="1"/>
  <c r="B1676" i="1"/>
  <c r="A1676" i="1"/>
  <c r="B1675" i="1"/>
  <c r="A1675" i="1"/>
  <c r="B1674" i="1"/>
  <c r="A1674" i="1"/>
  <c r="B1673" i="1"/>
  <c r="A1673" i="1"/>
  <c r="B1672" i="1"/>
  <c r="A1672" i="1"/>
  <c r="B1671" i="1"/>
  <c r="A1671" i="1"/>
  <c r="B1670" i="1"/>
  <c r="A1670" i="1"/>
  <c r="B1669" i="1"/>
  <c r="A1669" i="1"/>
  <c r="B1668" i="1"/>
  <c r="A1668" i="1"/>
  <c r="B1667" i="1"/>
  <c r="A1667" i="1"/>
  <c r="B1666" i="1"/>
  <c r="A1666" i="1"/>
  <c r="B1665" i="1"/>
  <c r="A1665" i="1"/>
  <c r="B1664" i="1"/>
  <c r="A1664" i="1"/>
  <c r="B1663" i="1"/>
  <c r="A1663" i="1"/>
  <c r="B1662" i="1"/>
  <c r="A1662" i="1"/>
  <c r="B1661" i="1"/>
  <c r="A1661" i="1"/>
  <c r="B1660" i="1"/>
  <c r="A1660" i="1"/>
  <c r="B1659" i="1"/>
  <c r="A1659" i="1"/>
  <c r="B1658" i="1"/>
  <c r="A1658" i="1"/>
  <c r="B1657" i="1"/>
  <c r="A1657" i="1"/>
  <c r="B1656" i="1"/>
  <c r="A1656" i="1"/>
  <c r="B1655" i="1"/>
  <c r="A1655" i="1"/>
  <c r="B1654" i="1"/>
  <c r="A1654" i="1"/>
  <c r="B1653" i="1"/>
  <c r="A1653" i="1"/>
  <c r="B1652" i="1"/>
  <c r="A1652" i="1"/>
  <c r="B1651" i="1"/>
  <c r="A1651" i="1"/>
  <c r="B1650" i="1"/>
  <c r="A1650" i="1"/>
  <c r="B1649" i="1"/>
  <c r="A1649" i="1"/>
  <c r="B1648" i="1"/>
  <c r="A1648" i="1"/>
  <c r="B1647" i="1"/>
  <c r="A1647" i="1"/>
  <c r="B1646" i="1"/>
  <c r="A1646" i="1"/>
  <c r="B1645" i="1"/>
  <c r="A1645" i="1"/>
  <c r="B1644" i="1"/>
  <c r="A1644" i="1"/>
  <c r="B1643" i="1"/>
  <c r="A1643" i="1"/>
  <c r="B1642" i="1"/>
  <c r="A1642" i="1"/>
  <c r="B1641" i="1"/>
  <c r="A1641" i="1"/>
  <c r="B1640" i="1"/>
  <c r="A1640" i="1"/>
  <c r="B1639" i="1"/>
  <c r="A1639" i="1"/>
  <c r="B1638" i="1"/>
  <c r="A1638" i="1"/>
  <c r="B1637" i="1"/>
  <c r="A1637" i="1"/>
  <c r="B1636" i="1"/>
  <c r="A1636" i="1"/>
  <c r="B1635" i="1"/>
  <c r="A1635" i="1"/>
  <c r="B1634" i="1"/>
  <c r="A1634" i="1"/>
  <c r="B1633" i="1"/>
  <c r="A1633" i="1"/>
  <c r="B1632" i="1"/>
  <c r="A1632" i="1"/>
  <c r="B1631" i="1"/>
  <c r="A1631" i="1"/>
  <c r="B1630" i="1"/>
  <c r="A1630" i="1"/>
  <c r="B1629" i="1"/>
  <c r="A1629" i="1"/>
  <c r="B1628" i="1"/>
  <c r="A1628" i="1"/>
  <c r="B1627" i="1"/>
  <c r="A1627" i="1"/>
  <c r="B1626" i="1"/>
  <c r="A1626" i="1"/>
  <c r="B1625" i="1"/>
  <c r="A1625" i="1"/>
  <c r="B1624" i="1"/>
  <c r="A1624" i="1"/>
  <c r="B1623" i="1"/>
  <c r="A1623" i="1"/>
  <c r="B1622" i="1"/>
  <c r="A1622" i="1"/>
  <c r="B1621" i="1"/>
  <c r="A1621" i="1"/>
  <c r="B1620" i="1"/>
  <c r="A1620" i="1"/>
  <c r="B1619" i="1"/>
  <c r="A1619" i="1"/>
  <c r="B1618" i="1"/>
  <c r="A1618" i="1"/>
  <c r="B1617" i="1"/>
  <c r="A1617" i="1"/>
  <c r="B1616" i="1"/>
  <c r="A1616" i="1"/>
  <c r="B1615" i="1"/>
  <c r="A1615" i="1"/>
  <c r="B1614" i="1"/>
  <c r="A1614" i="1"/>
  <c r="B1613" i="1"/>
  <c r="A1613" i="1"/>
  <c r="B1612" i="1"/>
  <c r="A1612" i="1"/>
  <c r="B1611" i="1"/>
  <c r="A1611" i="1"/>
  <c r="B1610" i="1"/>
  <c r="A1610" i="1"/>
  <c r="B1609" i="1"/>
  <c r="A1609" i="1"/>
  <c r="B1608" i="1"/>
  <c r="A1608" i="1"/>
  <c r="B1607" i="1"/>
  <c r="A1607" i="1"/>
  <c r="B1606" i="1"/>
  <c r="A1606" i="1"/>
  <c r="B1605" i="1"/>
  <c r="A1605" i="1"/>
  <c r="B1604" i="1"/>
  <c r="A1604" i="1"/>
  <c r="B1603" i="1"/>
  <c r="A1603" i="1"/>
  <c r="B1602" i="1"/>
  <c r="A1602" i="1"/>
  <c r="B1601" i="1"/>
  <c r="A1601" i="1"/>
  <c r="B1600" i="1"/>
  <c r="A1600" i="1"/>
  <c r="B1599" i="1"/>
  <c r="A1599" i="1"/>
  <c r="B1598" i="1"/>
  <c r="A1598" i="1"/>
  <c r="B1597" i="1"/>
  <c r="A1597" i="1"/>
  <c r="B1596" i="1"/>
  <c r="A1596" i="1"/>
  <c r="B1595" i="1"/>
  <c r="A1595" i="1"/>
  <c r="B1594" i="1"/>
  <c r="A1594" i="1"/>
  <c r="B1593" i="1"/>
  <c r="A1593" i="1"/>
  <c r="B1592" i="1"/>
  <c r="A1592" i="1"/>
  <c r="B1591" i="1"/>
  <c r="A1591" i="1"/>
  <c r="B1590" i="1"/>
  <c r="A1590" i="1"/>
  <c r="B1589" i="1"/>
  <c r="A1589" i="1"/>
  <c r="B1588" i="1"/>
  <c r="A1588" i="1"/>
  <c r="B1587" i="1"/>
  <c r="A1587" i="1"/>
  <c r="B1586" i="1"/>
  <c r="A1586" i="1"/>
  <c r="B1585" i="1"/>
  <c r="A1585" i="1"/>
  <c r="B1584" i="1"/>
  <c r="A1584" i="1"/>
  <c r="B1583" i="1"/>
  <c r="A1583" i="1"/>
  <c r="B1582" i="1"/>
  <c r="A1582" i="1"/>
  <c r="B1581" i="1"/>
  <c r="A1581" i="1"/>
  <c r="B1580" i="1"/>
  <c r="A1580" i="1"/>
  <c r="B1579" i="1"/>
  <c r="A1579" i="1"/>
  <c r="B1578" i="1"/>
  <c r="A1578" i="1"/>
  <c r="B1577" i="1"/>
  <c r="A1577" i="1"/>
  <c r="B1576" i="1"/>
  <c r="A1576" i="1"/>
  <c r="B1575" i="1"/>
  <c r="A1575" i="1"/>
  <c r="B1574" i="1"/>
  <c r="A1574" i="1"/>
  <c r="B1573" i="1"/>
  <c r="A1573" i="1"/>
  <c r="B1572" i="1"/>
  <c r="A1572" i="1"/>
  <c r="B1571" i="1"/>
  <c r="A1571" i="1"/>
  <c r="B1570" i="1"/>
  <c r="A1570" i="1"/>
  <c r="B1569" i="1"/>
  <c r="A1569" i="1"/>
  <c r="B1568" i="1"/>
  <c r="A1568" i="1"/>
  <c r="B1567" i="1"/>
  <c r="A1567" i="1"/>
  <c r="B1566" i="1"/>
  <c r="A1566" i="1"/>
  <c r="B1565" i="1"/>
  <c r="A1565" i="1"/>
  <c r="B1564" i="1"/>
  <c r="A1564" i="1"/>
  <c r="B1563" i="1"/>
  <c r="A1563" i="1"/>
  <c r="B1562" i="1"/>
  <c r="A1562" i="1"/>
  <c r="B1561" i="1"/>
  <c r="A1561" i="1"/>
  <c r="B1560" i="1"/>
  <c r="A1560" i="1"/>
  <c r="B1559" i="1"/>
  <c r="A1559" i="1"/>
  <c r="B1558" i="1"/>
  <c r="A1558" i="1"/>
  <c r="B1557" i="1"/>
  <c r="A1557" i="1"/>
  <c r="B1556" i="1"/>
  <c r="A1556" i="1"/>
  <c r="B1555" i="1"/>
  <c r="A1555" i="1"/>
  <c r="B1554" i="1"/>
  <c r="A1554" i="1"/>
  <c r="B1553" i="1"/>
  <c r="A1553" i="1"/>
  <c r="B1552" i="1"/>
  <c r="A1552" i="1"/>
  <c r="B1551" i="1"/>
  <c r="A1551" i="1"/>
  <c r="B1550" i="1"/>
  <c r="A1550" i="1"/>
  <c r="B1549" i="1"/>
  <c r="A1549" i="1"/>
  <c r="B1548" i="1"/>
  <c r="A1548" i="1"/>
  <c r="B1547" i="1"/>
  <c r="A1547" i="1"/>
  <c r="B1546" i="1"/>
  <c r="A1546" i="1"/>
  <c r="B1545" i="1"/>
  <c r="A1545" i="1"/>
  <c r="B1544" i="1"/>
  <c r="A1544" i="1"/>
  <c r="B1543" i="1"/>
  <c r="A1543" i="1"/>
  <c r="B1542" i="1"/>
  <c r="A1542" i="1"/>
  <c r="B1541" i="1"/>
  <c r="A1541" i="1"/>
  <c r="B1540" i="1"/>
  <c r="A1540" i="1"/>
  <c r="B1539" i="1"/>
  <c r="A1539" i="1"/>
  <c r="B1538" i="1"/>
  <c r="A1538" i="1"/>
  <c r="B1537" i="1"/>
  <c r="A1537" i="1"/>
  <c r="B1536" i="1"/>
  <c r="A1536" i="1"/>
  <c r="B1535" i="1"/>
  <c r="A1535" i="1"/>
  <c r="B1534" i="1"/>
  <c r="A1534" i="1"/>
  <c r="B1533" i="1"/>
  <c r="A1533" i="1"/>
  <c r="B1532" i="1"/>
  <c r="A1532" i="1"/>
  <c r="B1531" i="1"/>
  <c r="A1531" i="1"/>
  <c r="B1530" i="1"/>
  <c r="A1530" i="1"/>
  <c r="B1529" i="1"/>
  <c r="A1529" i="1"/>
  <c r="B1528" i="1"/>
  <c r="A1528" i="1"/>
  <c r="B1527" i="1"/>
  <c r="A1527" i="1"/>
  <c r="B1526" i="1"/>
  <c r="A1526" i="1"/>
  <c r="B1525" i="1"/>
  <c r="A1525" i="1"/>
  <c r="B1524" i="1"/>
  <c r="A1524" i="1"/>
  <c r="B1523" i="1"/>
  <c r="A1523" i="1"/>
  <c r="B1522" i="1"/>
  <c r="A1522" i="1"/>
  <c r="B1521" i="1"/>
  <c r="A1521" i="1"/>
  <c r="B1520" i="1"/>
  <c r="A1520" i="1"/>
  <c r="B1519" i="1"/>
  <c r="A1519" i="1"/>
  <c r="B1518" i="1"/>
  <c r="A1518" i="1"/>
  <c r="B1517" i="1"/>
  <c r="A1517" i="1"/>
  <c r="B1516" i="1"/>
  <c r="A1516" i="1"/>
  <c r="B1515" i="1"/>
  <c r="A1515" i="1"/>
  <c r="B1514" i="1"/>
  <c r="A1514" i="1"/>
  <c r="B1513" i="1"/>
  <c r="A1513" i="1"/>
  <c r="B1512" i="1"/>
  <c r="A1512" i="1"/>
  <c r="B1511" i="1"/>
  <c r="A1511" i="1"/>
  <c r="B1510" i="1"/>
  <c r="A1510" i="1"/>
  <c r="B1509" i="1"/>
  <c r="A1509" i="1"/>
  <c r="B1508" i="1"/>
  <c r="A1508" i="1"/>
  <c r="B1507" i="1"/>
  <c r="A1507" i="1"/>
  <c r="B1506" i="1"/>
  <c r="A1506" i="1"/>
  <c r="B1505" i="1"/>
  <c r="A1505" i="1"/>
  <c r="B1504" i="1"/>
  <c r="A1504" i="1"/>
  <c r="B1503" i="1"/>
  <c r="A1503" i="1"/>
  <c r="B1502" i="1"/>
  <c r="A1502" i="1"/>
  <c r="B1501" i="1"/>
  <c r="A1501" i="1"/>
  <c r="B1500" i="1"/>
  <c r="A1500" i="1"/>
  <c r="B1499" i="1"/>
  <c r="A1499" i="1"/>
  <c r="B1498" i="1"/>
  <c r="A1498" i="1"/>
  <c r="B1497" i="1"/>
  <c r="A1497" i="1"/>
  <c r="B1496" i="1"/>
  <c r="A1496" i="1"/>
  <c r="B1495" i="1"/>
  <c r="A1495" i="1"/>
  <c r="B1494" i="1"/>
  <c r="A1494" i="1"/>
  <c r="B1493" i="1"/>
  <c r="A1493" i="1"/>
  <c r="B1492" i="1"/>
  <c r="A1492" i="1"/>
  <c r="B1491" i="1"/>
  <c r="A1491" i="1"/>
  <c r="B1490" i="1"/>
  <c r="A1490" i="1"/>
  <c r="B1489" i="1"/>
  <c r="A1489" i="1"/>
  <c r="B1488" i="1"/>
  <c r="A1488" i="1"/>
  <c r="B1487" i="1"/>
  <c r="A1487" i="1"/>
  <c r="B1486" i="1"/>
  <c r="A1486" i="1"/>
  <c r="B1485" i="1"/>
  <c r="A1485" i="1"/>
  <c r="B1484" i="1"/>
  <c r="A1484" i="1"/>
  <c r="B1483" i="1"/>
  <c r="A1483" i="1"/>
  <c r="B1482" i="1"/>
  <c r="A1482" i="1"/>
  <c r="B1481" i="1"/>
  <c r="A1481" i="1"/>
  <c r="B1480" i="1"/>
  <c r="A1480" i="1"/>
  <c r="B1479" i="1"/>
  <c r="A1479" i="1"/>
  <c r="B1478" i="1"/>
  <c r="A1478" i="1"/>
  <c r="B1477" i="1"/>
  <c r="A1477" i="1"/>
  <c r="B1476" i="1"/>
  <c r="A1476" i="1"/>
  <c r="B1475" i="1"/>
  <c r="A1475" i="1"/>
  <c r="B1474" i="1"/>
  <c r="A1474" i="1"/>
  <c r="B1473" i="1"/>
  <c r="A1473" i="1"/>
  <c r="B1472" i="1"/>
  <c r="A1472" i="1"/>
  <c r="B1471" i="1"/>
  <c r="A1471" i="1"/>
  <c r="B1470" i="1"/>
  <c r="A1470" i="1"/>
  <c r="B1469" i="1"/>
  <c r="A1469" i="1"/>
  <c r="B1468" i="1"/>
  <c r="A1468" i="1"/>
  <c r="B1467" i="1"/>
  <c r="A1467" i="1"/>
  <c r="B1466" i="1"/>
  <c r="A1466" i="1"/>
  <c r="B1465" i="1"/>
  <c r="A1465" i="1"/>
  <c r="B1464" i="1"/>
  <c r="A1464" i="1"/>
  <c r="B1463" i="1"/>
  <c r="A1463" i="1"/>
  <c r="B1462" i="1"/>
  <c r="A1462" i="1"/>
  <c r="B1461" i="1"/>
  <c r="A1461" i="1"/>
  <c r="B1460" i="1"/>
  <c r="A1460" i="1"/>
  <c r="B1459" i="1"/>
  <c r="A1459" i="1"/>
  <c r="B1458" i="1"/>
  <c r="A1458" i="1"/>
  <c r="B1457" i="1"/>
  <c r="A1457" i="1"/>
  <c r="B1456" i="1"/>
  <c r="A1456" i="1"/>
  <c r="B1455" i="1"/>
  <c r="A1455" i="1"/>
  <c r="B1454" i="1"/>
  <c r="A1454" i="1"/>
  <c r="B1453" i="1"/>
  <c r="A1453" i="1"/>
  <c r="B1452" i="1"/>
  <c r="A1452" i="1"/>
  <c r="B1451" i="1"/>
  <c r="A1451" i="1"/>
  <c r="B1450" i="1"/>
  <c r="A1450" i="1"/>
  <c r="B1449" i="1"/>
  <c r="A1449" i="1"/>
  <c r="B1448" i="1"/>
  <c r="A1448" i="1"/>
  <c r="B1447" i="1"/>
  <c r="A1447" i="1"/>
  <c r="B1446" i="1"/>
  <c r="A1446" i="1"/>
  <c r="B1445" i="1"/>
  <c r="A1445" i="1"/>
  <c r="B1444" i="1"/>
  <c r="A1444" i="1"/>
  <c r="B1443" i="1"/>
  <c r="A1443" i="1"/>
  <c r="B1442" i="1"/>
  <c r="A1442" i="1"/>
  <c r="B1441" i="1"/>
  <c r="A1441" i="1"/>
  <c r="B1440" i="1"/>
  <c r="A1440" i="1"/>
  <c r="B1439" i="1"/>
  <c r="A1439" i="1"/>
  <c r="B1438" i="1"/>
  <c r="A1438" i="1"/>
  <c r="B1437" i="1"/>
  <c r="A1437" i="1"/>
  <c r="B1436" i="1"/>
  <c r="A1436" i="1"/>
  <c r="B1435" i="1"/>
  <c r="A1435" i="1"/>
  <c r="B1434" i="1"/>
  <c r="A1434" i="1"/>
  <c r="B1433" i="1"/>
  <c r="A1433" i="1"/>
  <c r="B1432" i="1"/>
  <c r="A1432" i="1"/>
  <c r="B1431" i="1"/>
  <c r="A1431" i="1"/>
  <c r="B1430" i="1"/>
  <c r="A1430" i="1"/>
  <c r="B1429" i="1"/>
  <c r="A1429" i="1"/>
  <c r="B1428" i="1"/>
  <c r="A1428" i="1"/>
  <c r="B1427" i="1"/>
  <c r="A1427" i="1"/>
  <c r="B1426" i="1"/>
  <c r="A1426" i="1"/>
  <c r="B1425" i="1"/>
  <c r="A1425" i="1"/>
  <c r="B1424" i="1"/>
  <c r="A1424" i="1"/>
  <c r="B1423" i="1"/>
  <c r="A1423" i="1"/>
  <c r="B1422" i="1"/>
  <c r="A1422" i="1"/>
  <c r="B1421" i="1"/>
  <c r="A1421" i="1"/>
  <c r="B1420" i="1"/>
  <c r="A1420" i="1"/>
  <c r="B1419" i="1"/>
  <c r="A1419" i="1"/>
  <c r="B1418" i="1"/>
  <c r="A1418" i="1"/>
  <c r="B1417" i="1"/>
  <c r="A1417" i="1"/>
  <c r="B1416" i="1"/>
  <c r="A1416" i="1"/>
  <c r="B1415" i="1"/>
  <c r="A1415" i="1"/>
  <c r="B1414" i="1"/>
  <c r="A1414" i="1"/>
  <c r="B1413" i="1"/>
  <c r="A1413" i="1"/>
  <c r="B1412" i="1"/>
  <c r="A1412" i="1"/>
  <c r="B1411" i="1"/>
  <c r="A1411" i="1"/>
  <c r="B1410" i="1"/>
  <c r="A1410" i="1"/>
  <c r="B1409" i="1"/>
  <c r="A1409" i="1"/>
  <c r="B1408" i="1"/>
  <c r="A1408" i="1"/>
  <c r="B1407" i="1"/>
  <c r="A1407" i="1"/>
  <c r="B1406" i="1"/>
  <c r="A1406" i="1"/>
  <c r="B1405" i="1"/>
  <c r="A1405" i="1"/>
  <c r="B1404" i="1"/>
  <c r="A1404" i="1"/>
  <c r="B1403" i="1"/>
  <c r="A1403" i="1"/>
  <c r="B1402" i="1"/>
  <c r="A1402" i="1"/>
  <c r="B1401" i="1"/>
  <c r="A1401" i="1"/>
  <c r="B1400" i="1"/>
  <c r="A1400" i="1"/>
  <c r="B1399" i="1"/>
  <c r="A1399" i="1"/>
  <c r="B1398" i="1"/>
  <c r="A1398" i="1"/>
  <c r="B1397" i="1"/>
  <c r="A1397" i="1"/>
  <c r="B1396" i="1"/>
  <c r="A1396" i="1"/>
  <c r="B1395" i="1"/>
  <c r="A1395" i="1"/>
  <c r="B1394" i="1"/>
  <c r="A1394" i="1"/>
  <c r="B1393" i="1"/>
  <c r="A1393" i="1"/>
  <c r="B1392" i="1"/>
  <c r="A1392" i="1"/>
  <c r="B1391" i="1"/>
  <c r="A1391" i="1"/>
  <c r="B1390" i="1"/>
  <c r="A1390" i="1"/>
  <c r="B1389" i="1"/>
  <c r="A1389" i="1"/>
  <c r="B1388" i="1"/>
  <c r="A1388" i="1"/>
  <c r="B1387" i="1"/>
  <c r="A1387" i="1"/>
  <c r="B1386" i="1"/>
  <c r="A1386" i="1"/>
  <c r="B1385" i="1"/>
  <c r="A1385" i="1"/>
  <c r="B1384" i="1"/>
  <c r="A1384" i="1"/>
  <c r="B1383" i="1"/>
  <c r="A1383" i="1"/>
  <c r="B1382" i="1"/>
  <c r="A1382" i="1"/>
  <c r="B1381" i="1"/>
  <c r="A1381" i="1"/>
  <c r="B1380" i="1"/>
  <c r="A1380" i="1"/>
  <c r="B1379" i="1"/>
  <c r="A1379" i="1"/>
  <c r="B1378" i="1"/>
  <c r="A1378" i="1"/>
  <c r="B1377" i="1"/>
  <c r="A1377" i="1"/>
  <c r="B1376" i="1"/>
  <c r="A1376" i="1"/>
  <c r="B1375" i="1"/>
  <c r="A1375" i="1"/>
  <c r="B1374" i="1"/>
  <c r="A1374" i="1"/>
  <c r="B1373" i="1"/>
  <c r="A1373" i="1"/>
  <c r="B1372" i="1"/>
  <c r="A1372" i="1"/>
  <c r="B1371" i="1"/>
  <c r="A1371" i="1"/>
  <c r="B1370" i="1"/>
  <c r="A1370" i="1"/>
  <c r="B1369" i="1"/>
  <c r="A1369" i="1"/>
  <c r="B1368" i="1"/>
  <c r="A1368" i="1"/>
  <c r="B1367" i="1"/>
  <c r="A1367" i="1"/>
  <c r="B1366" i="1"/>
  <c r="A1366" i="1"/>
  <c r="B1365" i="1"/>
  <c r="A1365" i="1"/>
  <c r="B1364" i="1"/>
  <c r="A1364" i="1"/>
  <c r="B1363" i="1"/>
  <c r="A1363" i="1"/>
  <c r="B1362" i="1"/>
  <c r="A1362" i="1"/>
  <c r="B1361" i="1"/>
  <c r="A1361" i="1"/>
  <c r="B1360" i="1"/>
  <c r="A1360" i="1"/>
  <c r="B1359" i="1"/>
  <c r="A1359" i="1"/>
  <c r="B1358" i="1"/>
  <c r="A1358" i="1"/>
  <c r="B1357" i="1"/>
  <c r="A1357" i="1"/>
  <c r="B1356" i="1"/>
  <c r="A1356" i="1"/>
  <c r="B1355" i="1"/>
  <c r="A1355" i="1"/>
  <c r="B1354" i="1"/>
  <c r="A1354" i="1"/>
  <c r="B1353" i="1"/>
  <c r="A1353" i="1"/>
  <c r="B1352" i="1"/>
  <c r="A1352" i="1"/>
  <c r="B1351" i="1"/>
  <c r="A1351" i="1"/>
  <c r="B1350" i="1"/>
  <c r="A1350" i="1"/>
  <c r="B1349" i="1"/>
  <c r="A1349" i="1"/>
  <c r="B1348" i="1"/>
  <c r="A1348" i="1"/>
  <c r="B1347" i="1"/>
  <c r="A1347" i="1"/>
  <c r="B1346" i="1"/>
  <c r="A1346" i="1"/>
  <c r="B1345" i="1"/>
  <c r="A1345" i="1"/>
  <c r="B1344" i="1"/>
  <c r="A1344" i="1"/>
  <c r="B1343" i="1"/>
  <c r="A1343" i="1"/>
  <c r="B1342" i="1"/>
  <c r="A1342" i="1"/>
  <c r="B1341" i="1"/>
  <c r="A1341" i="1"/>
  <c r="B1340" i="1"/>
  <c r="A1340" i="1"/>
  <c r="B1339" i="1"/>
  <c r="A1339" i="1"/>
  <c r="B1338" i="1"/>
  <c r="A1338" i="1"/>
  <c r="B1337" i="1"/>
  <c r="A1337" i="1"/>
  <c r="B1336" i="1"/>
  <c r="A1336" i="1"/>
  <c r="B1335" i="1"/>
  <c r="A1335" i="1"/>
  <c r="B1334" i="1"/>
  <c r="A1334" i="1"/>
  <c r="B1333" i="1"/>
  <c r="A1333" i="1"/>
  <c r="B1332" i="1"/>
  <c r="A1332" i="1"/>
  <c r="B1331" i="1"/>
  <c r="A1331" i="1"/>
  <c r="B1330" i="1"/>
  <c r="A1330" i="1"/>
  <c r="B1329" i="1"/>
  <c r="A1329" i="1"/>
  <c r="B1328" i="1"/>
  <c r="A1328" i="1"/>
  <c r="B1327" i="1"/>
  <c r="A1327" i="1"/>
  <c r="B1326" i="1"/>
  <c r="A1326" i="1"/>
  <c r="B1325" i="1"/>
  <c r="A1325" i="1"/>
  <c r="B1324" i="1"/>
  <c r="A1324" i="1"/>
  <c r="B1323" i="1"/>
  <c r="A1323" i="1"/>
  <c r="B1322" i="1"/>
  <c r="A1322" i="1"/>
  <c r="B1321" i="1"/>
  <c r="A1321" i="1"/>
  <c r="B1320" i="1"/>
  <c r="A1320" i="1"/>
  <c r="B1319" i="1"/>
  <c r="A1319" i="1"/>
  <c r="B1318" i="1"/>
  <c r="A1318" i="1"/>
  <c r="B1317" i="1"/>
  <c r="A1317" i="1"/>
  <c r="B1316" i="1"/>
  <c r="A1316" i="1"/>
  <c r="B1315" i="1"/>
  <c r="A1315" i="1"/>
  <c r="B1314" i="1"/>
  <c r="A1314" i="1"/>
  <c r="B1313" i="1"/>
  <c r="A1313" i="1"/>
  <c r="B1312" i="1"/>
  <c r="A1312" i="1"/>
  <c r="B1311" i="1"/>
  <c r="A1311" i="1"/>
  <c r="B1310" i="1"/>
  <c r="A1310" i="1"/>
  <c r="B1309" i="1"/>
  <c r="A1309" i="1"/>
  <c r="B1308" i="1"/>
  <c r="A1308" i="1"/>
  <c r="B1307" i="1"/>
  <c r="A1307" i="1"/>
  <c r="B1306" i="1"/>
  <c r="A1306" i="1"/>
  <c r="B1305" i="1"/>
  <c r="A1305" i="1"/>
  <c r="B1304" i="1"/>
  <c r="A1304" i="1"/>
  <c r="B1303" i="1"/>
  <c r="A1303" i="1"/>
  <c r="B1302" i="1"/>
  <c r="A1302" i="1"/>
  <c r="B1301" i="1"/>
  <c r="A1301" i="1"/>
  <c r="B1300" i="1"/>
  <c r="A1300" i="1"/>
  <c r="B1299" i="1"/>
  <c r="A1299" i="1"/>
  <c r="B1298" i="1"/>
  <c r="A1298" i="1"/>
  <c r="B1297" i="1"/>
  <c r="A1297" i="1"/>
  <c r="B1296" i="1"/>
  <c r="A1296" i="1"/>
  <c r="B1295" i="1"/>
  <c r="A1295" i="1"/>
  <c r="B1294" i="1"/>
  <c r="A1294" i="1"/>
  <c r="B1293" i="1"/>
  <c r="A1293" i="1"/>
  <c r="B1292" i="1"/>
  <c r="A1292" i="1"/>
  <c r="B1291" i="1"/>
  <c r="A1291" i="1"/>
  <c r="B1290" i="1"/>
  <c r="A1290" i="1"/>
  <c r="B1289" i="1"/>
  <c r="A1289" i="1"/>
  <c r="B1288" i="1"/>
  <c r="A1288" i="1"/>
  <c r="B1287" i="1"/>
  <c r="A1287" i="1"/>
  <c r="B1286" i="1"/>
  <c r="A1286" i="1"/>
  <c r="B1285" i="1"/>
  <c r="A1285" i="1"/>
  <c r="B1284" i="1"/>
  <c r="A1284" i="1"/>
  <c r="B1283" i="1"/>
  <c r="A1283" i="1"/>
  <c r="B1282" i="1"/>
  <c r="A1282" i="1"/>
  <c r="B1281" i="1"/>
  <c r="A1281" i="1"/>
  <c r="B1280" i="1"/>
  <c r="A1280" i="1"/>
  <c r="B1279" i="1"/>
  <c r="A1279" i="1"/>
  <c r="B1278" i="1"/>
  <c r="A1278" i="1"/>
  <c r="B1277" i="1"/>
  <c r="A1277" i="1"/>
  <c r="B1276" i="1"/>
  <c r="A1276" i="1"/>
  <c r="B1275" i="1"/>
  <c r="A1275" i="1"/>
  <c r="B1274" i="1"/>
  <c r="A1274" i="1"/>
  <c r="B1273" i="1"/>
  <c r="A1273" i="1"/>
  <c r="B1272" i="1"/>
  <c r="A1272" i="1"/>
  <c r="B1271" i="1"/>
  <c r="A1271" i="1"/>
  <c r="B1270" i="1"/>
  <c r="A1270" i="1"/>
  <c r="B1269" i="1"/>
  <c r="A1269" i="1"/>
  <c r="B1268" i="1"/>
  <c r="A1268" i="1"/>
  <c r="B1267" i="1"/>
  <c r="A1267" i="1"/>
  <c r="B1266" i="1"/>
  <c r="A1266" i="1"/>
  <c r="B1265" i="1"/>
  <c r="A1265" i="1"/>
  <c r="B1264" i="1"/>
  <c r="A1264" i="1"/>
  <c r="B1263" i="1"/>
  <c r="A1263" i="1"/>
  <c r="B1262" i="1"/>
  <c r="A1262" i="1"/>
  <c r="B1261" i="1"/>
  <c r="A1261" i="1"/>
  <c r="B1260" i="1"/>
  <c r="A1260" i="1"/>
  <c r="B1259" i="1"/>
  <c r="A1259" i="1"/>
  <c r="B1258" i="1"/>
  <c r="A1258" i="1"/>
  <c r="B1257" i="1"/>
  <c r="A1257" i="1"/>
</calcChain>
</file>

<file path=xl/sharedStrings.xml><?xml version="1.0" encoding="utf-8"?>
<sst xmlns="http://schemas.openxmlformats.org/spreadsheetml/2006/main" count="3574" uniqueCount="3511">
  <si>
    <t>Género</t>
  </si>
  <si>
    <t>Campo preenchimento</t>
  </si>
  <si>
    <t>Homens</t>
  </si>
  <si>
    <t>1 - Homens</t>
  </si>
  <si>
    <t>Mulheres</t>
  </si>
  <si>
    <t>2 - Mulheres</t>
  </si>
  <si>
    <t>Não Binário</t>
  </si>
  <si>
    <t>3 - Não Binário</t>
  </si>
  <si>
    <t>Situação</t>
  </si>
  <si>
    <t>Inscrito</t>
  </si>
  <si>
    <t>1 - Inscrito</t>
  </si>
  <si>
    <t>Em Execução</t>
  </si>
  <si>
    <t>2 - Em Execução</t>
  </si>
  <si>
    <t xml:space="preserve">Transitou de ano </t>
  </si>
  <si>
    <t xml:space="preserve">3 - Transitou de ano </t>
  </si>
  <si>
    <t>Não transitou de ano</t>
  </si>
  <si>
    <t>4 - Não transitou de ano</t>
  </si>
  <si>
    <t>Desistente</t>
  </si>
  <si>
    <t>5 - Desistente</t>
  </si>
  <si>
    <t>Reprovado</t>
  </si>
  <si>
    <t>6 - Reprovado</t>
  </si>
  <si>
    <t>Aprovado/Concluido</t>
  </si>
  <si>
    <t>7 - Aprovado/Concluido</t>
  </si>
  <si>
    <t>Em reconhecimento</t>
  </si>
  <si>
    <t>8 - Em reconhecimento</t>
  </si>
  <si>
    <t>Encaminhado</t>
  </si>
  <si>
    <t>9 - Encaminhado</t>
  </si>
  <si>
    <t>Transferido</t>
  </si>
  <si>
    <t>11 - Transferido</t>
  </si>
  <si>
    <t>Suspenso</t>
  </si>
  <si>
    <t>12 - Suspenso</t>
  </si>
  <si>
    <t>Certificado</t>
  </si>
  <si>
    <t>13 - Certificado</t>
  </si>
  <si>
    <t>Concluiu o grau de ensino no tempo próprio</t>
  </si>
  <si>
    <t>14 - Concluiu o grau de ensino no tempo próprio</t>
  </si>
  <si>
    <t>Não concluiu o grau de ensino no tempo próprio</t>
  </si>
  <si>
    <t>15 - Não concluiu o grau de ensino no tempo próprio</t>
  </si>
  <si>
    <t>Apoio cancelado</t>
  </si>
  <si>
    <t>16 - Apoio cancelado</t>
  </si>
  <si>
    <t>A não considerar</t>
  </si>
  <si>
    <t>17 - A não considerar</t>
  </si>
  <si>
    <t>Situacao Face ao Emprego</t>
  </si>
  <si>
    <t>Desempregado à procura do 1º emprego</t>
  </si>
  <si>
    <t>2 - Desempregado à procura do 1º emprego</t>
  </si>
  <si>
    <t>Desempregado à procura de novo emprego - Não DLD</t>
  </si>
  <si>
    <t>3 - Desempregado à procura de novo emprego - Não DLD</t>
  </si>
  <si>
    <t>Desempregado à procura de novo emprego - DLD</t>
  </si>
  <si>
    <t>4 - Desempregado à procura de novo emprego - DLD</t>
  </si>
  <si>
    <t>Empregados</t>
  </si>
  <si>
    <t>5 - Empregados</t>
  </si>
  <si>
    <t>Inativos</t>
  </si>
  <si>
    <t>6 - Inativos</t>
  </si>
  <si>
    <t>Vinculo Contratual</t>
  </si>
  <si>
    <t>Comissão de Serviço</t>
  </si>
  <si>
    <t>1 - Comissão de Serviço</t>
  </si>
  <si>
    <t>Contrato Administrativo de Provimento</t>
  </si>
  <si>
    <t>2 - Contrato Administrativo de Provimento</t>
  </si>
  <si>
    <t>Contrato de Prestações de Serviços</t>
  </si>
  <si>
    <t>3 - Contrato de Prestações de Serviços</t>
  </si>
  <si>
    <t>Contrato de Trabalho em Funções Públicas</t>
  </si>
  <si>
    <t>4 - Contrato de Trabalho em Funções Públicas</t>
  </si>
  <si>
    <t>Contrato Tempo Indeterminado</t>
  </si>
  <si>
    <t>5 - Contrato Tempo Indeterminado</t>
  </si>
  <si>
    <t>Contrato Termo Certo</t>
  </si>
  <si>
    <t>6 - Contrato Termo Certo</t>
  </si>
  <si>
    <t>Contrato Termo Incerto</t>
  </si>
  <si>
    <t>7 - Contrato Termo Incerto</t>
  </si>
  <si>
    <t>Nomeação</t>
  </si>
  <si>
    <t>8 - Nomeação</t>
  </si>
  <si>
    <t>Outros Vínculos Análogos</t>
  </si>
  <si>
    <t>9 - Outros Vínculos Análogos</t>
  </si>
  <si>
    <t>Estagiário</t>
  </si>
  <si>
    <t>10 - Estagiário</t>
  </si>
  <si>
    <t>Voluntário</t>
  </si>
  <si>
    <t>11 - Voluntário</t>
  </si>
  <si>
    <t>Interno Eventual</t>
  </si>
  <si>
    <t>12 - Interno Eventual</t>
  </si>
  <si>
    <t>Interno Permanente</t>
  </si>
  <si>
    <t>13 - Interno Permanente</t>
  </si>
  <si>
    <t>Nomeação (apenas na Administração Pública)</t>
  </si>
  <si>
    <t>14 - Nomeação (apenas na Administração Pública)</t>
  </si>
  <si>
    <t>Outros colaboradores com reporte funcional à AP</t>
  </si>
  <si>
    <t>15 - Outros colaboradores com reporte funcional à AP</t>
  </si>
  <si>
    <t>A contratar</t>
  </si>
  <si>
    <t>17 - A contratar</t>
  </si>
  <si>
    <t>Bolseiro</t>
  </si>
  <si>
    <t>18 - Bolseiro</t>
  </si>
  <si>
    <t>Quadro cedência ocasional</t>
  </si>
  <si>
    <t>19 - Quadro cedência ocasional</t>
  </si>
  <si>
    <t xml:space="preserve">Habilitações Literárias </t>
  </si>
  <si>
    <t>2.º ciclo do ensino básico</t>
  </si>
  <si>
    <t>1 - 2.º ciclo do ensino básico</t>
  </si>
  <si>
    <t>3.º ciclo do ensino básico obtido no ensino regular ou por percursos de dupla certificação</t>
  </si>
  <si>
    <t>2 - 3.º ciclo do ensino básico obtido no ensino regular ou por percursos de dupla certificação</t>
  </si>
  <si>
    <t>Ensino secundário vocacionado para prosseguimento de estudos de nível superior</t>
  </si>
  <si>
    <t>3 - Ensino secundário vocacionado para prosseguimento de estudos de nível superior</t>
  </si>
  <si>
    <t>Ensino secundário obtido por percursos de dupla certificação ou ensino secundário vocacionado para prosseguimento de estudos de nível superior acrescido de estágio profissional – mínimo de 6 meses</t>
  </si>
  <si>
    <t>4 - Ensino secundário obtido por percursos de dupla certificação ou ensino secundário vocacionado para prosseguimento de estudos de nível superior acrescido de estágio profissional – mínimo de 6 meses</t>
  </si>
  <si>
    <t>Qualificação de nível pós-secundário não superior com créditos para prosseguimento de estudos de nível superior</t>
  </si>
  <si>
    <t>Licenciatura</t>
  </si>
  <si>
    <t>6 - Licenciatura</t>
  </si>
  <si>
    <t>Mestrado</t>
  </si>
  <si>
    <t>7 - Mestrado</t>
  </si>
  <si>
    <t>Doutoramento</t>
  </si>
  <si>
    <t>8 - Doutoramento</t>
  </si>
  <si>
    <t>Não sabe ler nem escrever</t>
  </si>
  <si>
    <t>9 - Não sabe ler nem escrever</t>
  </si>
  <si>
    <t>&lt; 4 anos escolaridade</t>
  </si>
  <si>
    <t>10 - &lt; 4 anos escolaridade</t>
  </si>
  <si>
    <t>1.º ciclo do ensino básico</t>
  </si>
  <si>
    <t>11 - 1.º ciclo do ensino básico</t>
  </si>
  <si>
    <t>Nivel QNQ</t>
  </si>
  <si>
    <t>Nível Qualificação 1</t>
  </si>
  <si>
    <t>1 - Nível Qualificação 1</t>
  </si>
  <si>
    <t>Nível Qualificação 2</t>
  </si>
  <si>
    <t>2 - Nível Qualificação 2</t>
  </si>
  <si>
    <t>Nível Qualificação 3</t>
  </si>
  <si>
    <t>3 - Nível Qualificação 3</t>
  </si>
  <si>
    <t>Nível Qualificação 4</t>
  </si>
  <si>
    <t>4 - Nível Qualificação 4</t>
  </si>
  <si>
    <t>Nível Qualificação 5</t>
  </si>
  <si>
    <t>5 - Nível Qualificação 5</t>
  </si>
  <si>
    <t>Nível Qualificação 6</t>
  </si>
  <si>
    <t>6 - Nível Qualificação 6</t>
  </si>
  <si>
    <t>Nível Qualificação 7</t>
  </si>
  <si>
    <t>7 - Nível Qualificação 7</t>
  </si>
  <si>
    <t>Nível Qualificação 8</t>
  </si>
  <si>
    <t>8 - Nível Qualificação 8</t>
  </si>
  <si>
    <t>Nível não aplicável</t>
  </si>
  <si>
    <t>9 - Nível não aplicável</t>
  </si>
  <si>
    <t>Procura emprego após terminada participação</t>
  </si>
  <si>
    <t>Sim</t>
  </si>
  <si>
    <t>1 - Sim</t>
  </si>
  <si>
    <t>Não</t>
  </si>
  <si>
    <t>2 - Não</t>
  </si>
  <si>
    <t xml:space="preserve">Estuda ou frequenta ação de formação no momento entrada </t>
  </si>
  <si>
    <t>Estuda ou frequenta ação de formação terminada a participação</t>
  </si>
  <si>
    <t>Para lista dependente</t>
  </si>
  <si>
    <t>Medidas_Ativas</t>
  </si>
  <si>
    <t xml:space="preserve">Bolsas </t>
  </si>
  <si>
    <t>1 - Incentivo Ativar</t>
  </si>
  <si>
    <t>27 - Bolsas de doutoramento</t>
  </si>
  <si>
    <t>2 - Prémio ao emprego</t>
  </si>
  <si>
    <t>28 - Bolsas de doutoramento em ambiente não académico</t>
  </si>
  <si>
    <t>3 - Compromisso Emprego Sustentável</t>
  </si>
  <si>
    <t>29 - Bolsa estudo</t>
  </si>
  <si>
    <t>4 - Programa Avançar</t>
  </si>
  <si>
    <t>30 - Bolsa mobilidade</t>
  </si>
  <si>
    <t>5 - Estágios ATIVAR.PT</t>
  </si>
  <si>
    <t>31 - Bolsa apoio estudantes com incapacidade</t>
  </si>
  <si>
    <t>6 - CEI+</t>
  </si>
  <si>
    <t>7 - Estágios Profissionais: Portaria n.º 206/2018, de 02 de julho, na sua atual redação, e regulada em termos de comparticipação financeira pelo Despacho n.º 14/2024;</t>
  </si>
  <si>
    <t>8 - Estágios Profissionais: Portaria n.º 209/2018, de 3 de julho, na sua atual redação;</t>
  </si>
  <si>
    <t>9 - Estágios profissionais na Europa: Portaria n.º 60/2008, de 15 de Maio</t>
  </si>
  <si>
    <t>10 - REATIVAR - Estágios Profissionais Adultos: Portaria n.º 127/2015 de 30 de Julho, na sua atual redação, e regulada em termos de comparticipação financeira pelo Despacho n.º 14/2024;</t>
  </si>
  <si>
    <t>11 - 100 Diferenças: Portaria n.º 630/2022, de 12 de outubro, na sua atual redação, e regulada em termos de regime jurídico de apoio técnico e financeiro pelo Decreto Legislativo n.º 21/2022/M, de 17 de agosto;</t>
  </si>
  <si>
    <t>12 - Programa Jovem Ativo: Portaria n.º 368/2022, de 14 de julho de 2022, e regulada em termos de comparticipação financeira pelo Despacho n.º 14/2024;</t>
  </si>
  <si>
    <t>13 - Programas Ocupacionais: Portaria n.º 137/2014, de 6 de agosto, na sua atual redação;</t>
  </si>
  <si>
    <t>14 - Programa Estímulo à Vida Ativa: Portaria n.º 189/2017, de 8 de junho, na sua atual redação;</t>
  </si>
  <si>
    <t>15 - Apoios à Contratação: Portaria n.º 191/2015, de 14 de outubro, na sua atual redação;</t>
  </si>
  <si>
    <t>16 - Programa de Criação de Empresas e Emprego: Portaria n.º 16/2020, de 6 de fevereiro, na sua atual redação.</t>
  </si>
  <si>
    <t>17 - Programa PROJOVEM: Portaria n.º 136/2014 de 06 de agosto, na sua atual redação, e regulada em termos de comparticipação financeira pelo Despacho n.º 14/2024;</t>
  </si>
  <si>
    <t>18 - Empresas de Inserção: Portaria n.º 242/2016, de 28 de junho,  na sua atual redação;</t>
  </si>
  <si>
    <t>19 - Formação/ Emprego: Portaria n.º 190/2014 de 6 de novembro,  na sua atual redação;</t>
  </si>
  <si>
    <t>20 - Medida de apoio à integração de subsidiados: Portaria n.º 172/2016, de 5 de maio,  na sua atual redação;</t>
  </si>
  <si>
    <t>21 - Programa Empreender Jovem: Portaria n.º 106/2022, de 2 de março, na sua atual redação;</t>
  </si>
  <si>
    <t>22 - PROFAMÍLIA: Portaria n.º 366/2019, de 3 de julho, na sua atual redação;</t>
  </si>
  <si>
    <t>23 - Centros de Apoio à Integração: Portaria n.º 479/2022, de 23 de agosto;</t>
  </si>
  <si>
    <t>24 - Polos de Emprego: Portaria n.º 184/2015, de 7 de outubro, na sua atual redação;</t>
  </si>
  <si>
    <t>25 - Criação do Próprio Emprego: Portaria n.º 57-A/2007, de 31 de maio</t>
  </si>
  <si>
    <t>26 - Bolsa de Consultores: Portaria n.º 57/2023, de 27 de janeiro, na sua atual redação</t>
  </si>
  <si>
    <t>27- Criação do próprio emprego</t>
  </si>
  <si>
    <t>28 - Apoios à contratação</t>
  </si>
  <si>
    <t>29 - Estágios Iniciar</t>
  </si>
  <si>
    <t>30 - Estágios + Talento</t>
  </si>
  <si>
    <t>Tipo de Entidade Enquadradora</t>
  </si>
  <si>
    <t>Entidade Empregadora</t>
  </si>
  <si>
    <t>1 - Entidade Empregadora</t>
  </si>
  <si>
    <t>Entidade Formadora</t>
  </si>
  <si>
    <t>2 - Entidade Formadora</t>
  </si>
  <si>
    <t>Entidade Responsavel pela candidatura interna</t>
  </si>
  <si>
    <t>3 - Entidade Responsavel pela candidatura interna</t>
  </si>
  <si>
    <t>Entidade de Acolhimento</t>
  </si>
  <si>
    <t>4 - Entidade de Acolhimento</t>
  </si>
  <si>
    <t>Tabela Modalidade de Encaminhamento: opções da plataforma SIGO</t>
  </si>
  <si>
    <t>Processo RVCC</t>
  </si>
  <si>
    <t>1 - Processo RVCC</t>
  </si>
  <si>
    <t>Curso EFA</t>
  </si>
  <si>
    <t>2 - Curso EFA</t>
  </si>
  <si>
    <t xml:space="preserve">Formação Modular </t>
  </si>
  <si>
    <t xml:space="preserve">3 - Formação Modular </t>
  </si>
  <si>
    <t>Curso de Educação e Formação</t>
  </si>
  <si>
    <t>4 - Curso de Educação e Formação</t>
  </si>
  <si>
    <t>Curso Profissional</t>
  </si>
  <si>
    <t>5 - Curso Profissional</t>
  </si>
  <si>
    <t>Curso de Aprendizagem</t>
  </si>
  <si>
    <t>6 - Curso de Aprendizagem</t>
  </si>
  <si>
    <t>Decreto-Lei n. 357/2007 – UFCD</t>
  </si>
  <si>
    <t>7 - Decreto-Lei n. 357/2007 – UFCD</t>
  </si>
  <si>
    <t>Decreto-Lei n. 357/2007 - Exame</t>
  </si>
  <si>
    <t>8 - Decreto-Lei n. 357/2007 - Exame</t>
  </si>
  <si>
    <t>Decreto-Lei n. 357/2007 - Sem disciplinas em falta</t>
  </si>
  <si>
    <t>9 - Decreto-Lei n. 357/2007 - Sem disciplinas em falta</t>
  </si>
  <si>
    <t>Português Língua de Acolhimento</t>
  </si>
  <si>
    <t>10 - Português Língua de Acolhimento</t>
  </si>
  <si>
    <t>Curso de Especialização Tecnológica</t>
  </si>
  <si>
    <t>11 - Curso de Especialização Tecnológica</t>
  </si>
  <si>
    <t>Jovem+ Digital</t>
  </si>
  <si>
    <t>12 - Jovem+ Digital</t>
  </si>
  <si>
    <t>Certificado de Competências Digitais</t>
  </si>
  <si>
    <t>13 - Certificado de Competências Digitais</t>
  </si>
  <si>
    <t>Omissão de Avaliação e Certificação (CAC/CTC)</t>
  </si>
  <si>
    <t>14 - Omissão de Avaliação e Certificação (CAC/CTC)</t>
  </si>
  <si>
    <t>Maquinista Ferroviário</t>
  </si>
  <si>
    <t>15 - Maquinista Ferroviário</t>
  </si>
  <si>
    <t>Programa Qualificação para a Internacionalização</t>
  </si>
  <si>
    <t>16 - Programa Qualificação para a Internacionalização</t>
  </si>
  <si>
    <t>Programa Valorizar Social</t>
  </si>
  <si>
    <t>17 - Programa Valorizar Social</t>
  </si>
  <si>
    <t>Reconhecimento de Títulos obtidos no Estrangeiro</t>
  </si>
  <si>
    <t>18 - Reconhecimento de Títulos obtidos no Estrangeiro</t>
  </si>
  <si>
    <t>Outro</t>
  </si>
  <si>
    <t>19 - Outro</t>
  </si>
  <si>
    <t>Curso Científico-humanístico</t>
  </si>
  <si>
    <t>20 - Curso Científico-humanístico</t>
  </si>
  <si>
    <t>Curso Artístico Especializado</t>
  </si>
  <si>
    <t>21 - Curso Artístico Especializado</t>
  </si>
  <si>
    <t>Ensino Básico Geral</t>
  </si>
  <si>
    <t>22 - Ensino Básico Geral</t>
  </si>
  <si>
    <t>TD Países</t>
  </si>
  <si>
    <t>Afeganistão</t>
  </si>
  <si>
    <t>1 - Afeganistão</t>
  </si>
  <si>
    <t>África do Sul</t>
  </si>
  <si>
    <t>2 - África do Sul</t>
  </si>
  <si>
    <t>Albânia</t>
  </si>
  <si>
    <t>3 - Albânia</t>
  </si>
  <si>
    <t>Alemanha</t>
  </si>
  <si>
    <t>4 - Alemanha</t>
  </si>
  <si>
    <t>Andorra</t>
  </si>
  <si>
    <t>5 - Andorra</t>
  </si>
  <si>
    <t>Angola</t>
  </si>
  <si>
    <t>6 - Angola</t>
  </si>
  <si>
    <t>Anguila</t>
  </si>
  <si>
    <t>7 - Anguila</t>
  </si>
  <si>
    <t>Antártida</t>
  </si>
  <si>
    <t>8 - Antártida</t>
  </si>
  <si>
    <t>Antígua e Barbuda</t>
  </si>
  <si>
    <t>9 - Antígua e Barbuda</t>
  </si>
  <si>
    <t>Antilhas Holandesas</t>
  </si>
  <si>
    <t>10 - Antilhas Holandesas</t>
  </si>
  <si>
    <t>Arábia Saudita</t>
  </si>
  <si>
    <t>11 - Arábia Saudita</t>
  </si>
  <si>
    <t>Argélia</t>
  </si>
  <si>
    <t>12 - Argélia</t>
  </si>
  <si>
    <t>Argentina</t>
  </si>
  <si>
    <t>13 - Argentina</t>
  </si>
  <si>
    <t>Arménia</t>
  </si>
  <si>
    <t>14 - Arménia</t>
  </si>
  <si>
    <t>Aruba</t>
  </si>
  <si>
    <t>15 - Aruba</t>
  </si>
  <si>
    <t>Austrália</t>
  </si>
  <si>
    <t>16 - Austrália</t>
  </si>
  <si>
    <t>Áustria</t>
  </si>
  <si>
    <t>17 - Áustria</t>
  </si>
  <si>
    <t>Azerbaijão</t>
  </si>
  <si>
    <t>18 - Azerbaijão</t>
  </si>
  <si>
    <t>Bahamas</t>
  </si>
  <si>
    <t>19 - Bahamas</t>
  </si>
  <si>
    <t>Bahrein</t>
  </si>
  <si>
    <t>20 - Bahrein</t>
  </si>
  <si>
    <t>Bangladesh</t>
  </si>
  <si>
    <t>21 - Bangladesh</t>
  </si>
  <si>
    <t>Barbados</t>
  </si>
  <si>
    <t>22 - Barbados</t>
  </si>
  <si>
    <t>Bielorrússia</t>
  </si>
  <si>
    <t>23 - Bielorrússia</t>
  </si>
  <si>
    <t>Bélgica</t>
  </si>
  <si>
    <t>24 - Bélgica</t>
  </si>
  <si>
    <t>Belize</t>
  </si>
  <si>
    <t>25 - Belize</t>
  </si>
  <si>
    <t>Benin</t>
  </si>
  <si>
    <t>26 - Benin</t>
  </si>
  <si>
    <t>Bermudas</t>
  </si>
  <si>
    <t>27 - Bermudas</t>
  </si>
  <si>
    <t>Bolívia</t>
  </si>
  <si>
    <t>28 - Bolívia</t>
  </si>
  <si>
    <t>Bósnia-Herzegóvina</t>
  </si>
  <si>
    <t>29 - Bósnia-Herzegóvina</t>
  </si>
  <si>
    <t>Botsuana</t>
  </si>
  <si>
    <t>30 - Botsuana</t>
  </si>
  <si>
    <t>Brasil</t>
  </si>
  <si>
    <t>31 - Brasil</t>
  </si>
  <si>
    <t>Brunei</t>
  </si>
  <si>
    <t>32 - Brunei</t>
  </si>
  <si>
    <t>Bulgária</t>
  </si>
  <si>
    <t>33 - Bulgária</t>
  </si>
  <si>
    <t>Burkina Fasso</t>
  </si>
  <si>
    <t>34 - Burkina Fasso</t>
  </si>
  <si>
    <t>Burundi</t>
  </si>
  <si>
    <t>35 - Burundi</t>
  </si>
  <si>
    <t>Butão</t>
  </si>
  <si>
    <t>36 - Butão</t>
  </si>
  <si>
    <t>Cabo Verde</t>
  </si>
  <si>
    <t>37 - Cabo Verde</t>
  </si>
  <si>
    <t>Camarões</t>
  </si>
  <si>
    <t>38 - Camarões</t>
  </si>
  <si>
    <t>Camboja</t>
  </si>
  <si>
    <t>39 - Camboja</t>
  </si>
  <si>
    <t>Canadá</t>
  </si>
  <si>
    <t>40 - Canadá</t>
  </si>
  <si>
    <t>Cazaquistão</t>
  </si>
  <si>
    <t>41 - Cazaquistão</t>
  </si>
  <si>
    <t>Chade</t>
  </si>
  <si>
    <t>42 - Chade</t>
  </si>
  <si>
    <t>Chile</t>
  </si>
  <si>
    <t>43 - Chile</t>
  </si>
  <si>
    <t>China</t>
  </si>
  <si>
    <t>44 - China</t>
  </si>
  <si>
    <t>Chipre</t>
  </si>
  <si>
    <t>45 - Chipre</t>
  </si>
  <si>
    <t>Singapura</t>
  </si>
  <si>
    <t>46 - Singapura</t>
  </si>
  <si>
    <t>Colômbia</t>
  </si>
  <si>
    <t>47 - Colômbia</t>
  </si>
  <si>
    <t>Congo</t>
  </si>
  <si>
    <t>48 - Congo</t>
  </si>
  <si>
    <t>Coreia do Norte</t>
  </si>
  <si>
    <t>49 - Coreia do Norte</t>
  </si>
  <si>
    <t>Coreia do Sul</t>
  </si>
  <si>
    <t>50 - Coreia do Sul</t>
  </si>
  <si>
    <t>Costa do Marfim</t>
  </si>
  <si>
    <t>51 - Costa do Marfim</t>
  </si>
  <si>
    <t>Costa Rica</t>
  </si>
  <si>
    <t>52 - Costa Rica</t>
  </si>
  <si>
    <t>Croácia (Hrvatska)</t>
  </si>
  <si>
    <t>53 - Croácia (Hrvatska)</t>
  </si>
  <si>
    <t>Cuba</t>
  </si>
  <si>
    <t>54 - Cuba</t>
  </si>
  <si>
    <t>Dinamarca</t>
  </si>
  <si>
    <t>55 - Dinamarca</t>
  </si>
  <si>
    <t>Djibuti</t>
  </si>
  <si>
    <t>56 - Djibuti</t>
  </si>
  <si>
    <t>Dominica</t>
  </si>
  <si>
    <t>57 - Dominica</t>
  </si>
  <si>
    <t>Egito</t>
  </si>
  <si>
    <t>58 - Egito</t>
  </si>
  <si>
    <t>El Salvador</t>
  </si>
  <si>
    <t>59 - El Salvador</t>
  </si>
  <si>
    <t>Emirados Árabes Unidos</t>
  </si>
  <si>
    <t>60 - Emirados Árabes Unidos</t>
  </si>
  <si>
    <t>Equador</t>
  </si>
  <si>
    <t>61 - Equador</t>
  </si>
  <si>
    <t>Eritréia</t>
  </si>
  <si>
    <t>62 - Eritréia</t>
  </si>
  <si>
    <t>Eslováquia</t>
  </si>
  <si>
    <t>63 - Eslováquia</t>
  </si>
  <si>
    <t>Eslovénia</t>
  </si>
  <si>
    <t>64 - Eslovénia</t>
  </si>
  <si>
    <t>Espanha</t>
  </si>
  <si>
    <t>65 - Espanha</t>
  </si>
  <si>
    <t>Estados Unidos</t>
  </si>
  <si>
    <t>66 - Estados Unidos</t>
  </si>
  <si>
    <t>Estônia</t>
  </si>
  <si>
    <t>67 - Estônia</t>
  </si>
  <si>
    <t>Etiópia</t>
  </si>
  <si>
    <t>68 - Etiópia</t>
  </si>
  <si>
    <t>Federação Russa</t>
  </si>
  <si>
    <t>69 - Federação Russa</t>
  </si>
  <si>
    <t>Fiji</t>
  </si>
  <si>
    <t>70 - Fiji</t>
  </si>
  <si>
    <t>Filipinas</t>
  </si>
  <si>
    <t>71 - Filipinas</t>
  </si>
  <si>
    <t>Finlândia</t>
  </si>
  <si>
    <t>72 - Finlândia</t>
  </si>
  <si>
    <t>França</t>
  </si>
  <si>
    <t>73 - França</t>
  </si>
  <si>
    <t>Gabão</t>
  </si>
  <si>
    <t>74 - Gabão</t>
  </si>
  <si>
    <t>Gâmbia</t>
  </si>
  <si>
    <t>75 - Gâmbia</t>
  </si>
  <si>
    <t>Gana</t>
  </si>
  <si>
    <t>76 - Gana</t>
  </si>
  <si>
    <t>Geórgia</t>
  </si>
  <si>
    <t>77 - Geórgia</t>
  </si>
  <si>
    <t>Gibraltar</t>
  </si>
  <si>
    <t>78 - Gibraltar</t>
  </si>
  <si>
    <t>Grã-Bretanha (Reino Unido, UK)</t>
  </si>
  <si>
    <t>79 - Grã-Bretanha (Reino Unido, UK)</t>
  </si>
  <si>
    <t>Granada</t>
  </si>
  <si>
    <t>80 - Granada</t>
  </si>
  <si>
    <t>Grécia</t>
  </si>
  <si>
    <t>81 - Grécia</t>
  </si>
  <si>
    <t>Gronelândia</t>
  </si>
  <si>
    <t>82 - Gronelândia</t>
  </si>
  <si>
    <t>Guadalupe</t>
  </si>
  <si>
    <t>83 - Guadalupe</t>
  </si>
  <si>
    <t>Guam (Território dos Estados Unidos)</t>
  </si>
  <si>
    <t>84 - Guam (Território dos Estados Unidos)</t>
  </si>
  <si>
    <t>Guatemala</t>
  </si>
  <si>
    <t>85 - Guatemala</t>
  </si>
  <si>
    <t>Guernsey</t>
  </si>
  <si>
    <t>86 - Guernsey</t>
  </si>
  <si>
    <t>Guiana</t>
  </si>
  <si>
    <t>87 - Guiana</t>
  </si>
  <si>
    <t>Guiana Francesa</t>
  </si>
  <si>
    <t>88 - Guiana Francesa</t>
  </si>
  <si>
    <t>Guiné</t>
  </si>
  <si>
    <t>89 - Guiné</t>
  </si>
  <si>
    <t>Guiné Equatorial</t>
  </si>
  <si>
    <t>90 - Guiné Equatorial</t>
  </si>
  <si>
    <t>Guiné-Bissau</t>
  </si>
  <si>
    <t>91 - Guiné-Bissau</t>
  </si>
  <si>
    <t>Haiti</t>
  </si>
  <si>
    <t>92 - Haiti</t>
  </si>
  <si>
    <t>Holanda</t>
  </si>
  <si>
    <t>93 - Holanda</t>
  </si>
  <si>
    <t>Honduras</t>
  </si>
  <si>
    <t>94 - Honduras</t>
  </si>
  <si>
    <t>Hong Kong</t>
  </si>
  <si>
    <t>95 - Hong Kong</t>
  </si>
  <si>
    <t>Hungria</t>
  </si>
  <si>
    <t>96 - Hungria</t>
  </si>
  <si>
    <t>Iêmen</t>
  </si>
  <si>
    <t>97 - Iêmen</t>
  </si>
  <si>
    <t>Ilha Bouvet (Território da Noruega)</t>
  </si>
  <si>
    <t>98 - Ilha Bouvet (Território da Noruega)</t>
  </si>
  <si>
    <t>Ilha do Homem</t>
  </si>
  <si>
    <t>99 - Ilha do Homem</t>
  </si>
  <si>
    <t>Ilha Natal</t>
  </si>
  <si>
    <t>100 - Ilha Natal</t>
  </si>
  <si>
    <t>Ilha Pitcairn</t>
  </si>
  <si>
    <t>101 - Ilha Pitcairn</t>
  </si>
  <si>
    <t>Ilha Reunião</t>
  </si>
  <si>
    <t>102 - Ilha Reunião</t>
  </si>
  <si>
    <t>Ilhas Aland</t>
  </si>
  <si>
    <t>103 - Ilhas Aland</t>
  </si>
  <si>
    <t>Ilhas Cayman</t>
  </si>
  <si>
    <t>104 - Ilhas Cayman</t>
  </si>
  <si>
    <t>Ilhas Cocos</t>
  </si>
  <si>
    <t>105 - Ilhas Cocos</t>
  </si>
  <si>
    <t>Ilhas Comores</t>
  </si>
  <si>
    <t>106 - Ilhas Comores</t>
  </si>
  <si>
    <t>Ilhas Cook</t>
  </si>
  <si>
    <t>107 - Ilhas Cook</t>
  </si>
  <si>
    <t>Ilhas Falkland (Malvinas)</t>
  </si>
  <si>
    <t>108 - Ilhas Falkland (Malvinas)</t>
  </si>
  <si>
    <t>Ilhas Faroes</t>
  </si>
  <si>
    <t>109 - Ilhas Faroes</t>
  </si>
  <si>
    <t>Ilhas Geórgia do Sul e Sandwich do Sul</t>
  </si>
  <si>
    <t>110 - Ilhas Geórgia do Sul e Sandwich do Sul</t>
  </si>
  <si>
    <t>Ilhas Heard e McDonald (Território da Austrália)</t>
  </si>
  <si>
    <t>111 - Ilhas Heard e McDonald (Território da Austrália)</t>
  </si>
  <si>
    <t>Ilhas Marianas do Norte</t>
  </si>
  <si>
    <t>112 - Ilhas Marianas do Norte</t>
  </si>
  <si>
    <t>Ilhas Marshall</t>
  </si>
  <si>
    <t>113 - Ilhas Marshall</t>
  </si>
  <si>
    <t>Ilhas Menores dos Estados Unidos</t>
  </si>
  <si>
    <t>114 - Ilhas Menores dos Estados Unidos</t>
  </si>
  <si>
    <t>Ilhas Norfolk</t>
  </si>
  <si>
    <t>115 - Ilhas Norfolk</t>
  </si>
  <si>
    <t>Ilhas Seychelles</t>
  </si>
  <si>
    <t>116 - Ilhas Seychelles</t>
  </si>
  <si>
    <t>Ilhas Solomão</t>
  </si>
  <si>
    <t>117 - Ilhas Solomão</t>
  </si>
  <si>
    <t>Ilhas Svalbard e Jan Mayen</t>
  </si>
  <si>
    <t>118 - Ilhas Svalbard e Jan Mayen</t>
  </si>
  <si>
    <t>Ilhas Tokelau</t>
  </si>
  <si>
    <t>119 - Ilhas Tokelau</t>
  </si>
  <si>
    <t>Ilhas Turks e Caicos</t>
  </si>
  <si>
    <t>120 - Ilhas Turks e Caicos</t>
  </si>
  <si>
    <t>Ilhas Virgens (Estados Unidos)</t>
  </si>
  <si>
    <t>121 - Ilhas Virgens (Estados Unidos)</t>
  </si>
  <si>
    <t>Ilhas Virgens (Inglaterra)</t>
  </si>
  <si>
    <t>122 - Ilhas Virgens (Inglaterra)</t>
  </si>
  <si>
    <t>Ilhas Wallis e Futuna</t>
  </si>
  <si>
    <t>123 - Ilhas Wallis e Futuna</t>
  </si>
  <si>
    <t>Índia</t>
  </si>
  <si>
    <t>124 - Índia</t>
  </si>
  <si>
    <t>Indonésia</t>
  </si>
  <si>
    <t>125 - Indonésia</t>
  </si>
  <si>
    <t>Irã</t>
  </si>
  <si>
    <t>126 - Irã</t>
  </si>
  <si>
    <t>Iraque</t>
  </si>
  <si>
    <t>127 - Iraque</t>
  </si>
  <si>
    <t>Irlanda</t>
  </si>
  <si>
    <t>128 - Irlanda</t>
  </si>
  <si>
    <t>Islândia</t>
  </si>
  <si>
    <t>129 - Islândia</t>
  </si>
  <si>
    <t>Israel</t>
  </si>
  <si>
    <t>130 - Israel</t>
  </si>
  <si>
    <t>Itália</t>
  </si>
  <si>
    <t>131 - Itália</t>
  </si>
  <si>
    <t>Jamaica</t>
  </si>
  <si>
    <t>132 - Jamaica</t>
  </si>
  <si>
    <t>Japão</t>
  </si>
  <si>
    <t>133 - Japão</t>
  </si>
  <si>
    <t>Jersey</t>
  </si>
  <si>
    <t>134 - Jersey</t>
  </si>
  <si>
    <t>Jordânia</t>
  </si>
  <si>
    <t>135 - Jordânia</t>
  </si>
  <si>
    <t>Kênia</t>
  </si>
  <si>
    <t>136 - Kênia</t>
  </si>
  <si>
    <t>Kiribati</t>
  </si>
  <si>
    <t>137 - Kiribati</t>
  </si>
  <si>
    <t>Kuait</t>
  </si>
  <si>
    <t>138 - Kuait</t>
  </si>
  <si>
    <t>Kyrgyzstan</t>
  </si>
  <si>
    <t>139 - Kyrgyzstan</t>
  </si>
  <si>
    <t>Laos</t>
  </si>
  <si>
    <t>140 - Laos</t>
  </si>
  <si>
    <t>Látvia</t>
  </si>
  <si>
    <t>141 - Látvia</t>
  </si>
  <si>
    <t>Lesoto</t>
  </si>
  <si>
    <t>142 - Lesoto</t>
  </si>
  <si>
    <t>Líbano</t>
  </si>
  <si>
    <t>143 - Líbano</t>
  </si>
  <si>
    <t>Libéria</t>
  </si>
  <si>
    <t>144 - Libéria</t>
  </si>
  <si>
    <t>Líbia</t>
  </si>
  <si>
    <t>145 - Líbia</t>
  </si>
  <si>
    <t>Liechtenstein</t>
  </si>
  <si>
    <t>146 - Liechtenstein</t>
  </si>
  <si>
    <t>Lituânia</t>
  </si>
  <si>
    <t>147 - Lituânia</t>
  </si>
  <si>
    <t>Luxemburgo</t>
  </si>
  <si>
    <t>148 - Luxemburgo</t>
  </si>
  <si>
    <t>Macau</t>
  </si>
  <si>
    <t>149 - Macau</t>
  </si>
  <si>
    <t>Macedônia (República Yugoslava)</t>
  </si>
  <si>
    <t>150 - Macedônia (República Yugoslava)</t>
  </si>
  <si>
    <t>Madagascar</t>
  </si>
  <si>
    <t>151 - Madagascar</t>
  </si>
  <si>
    <t>Malásia</t>
  </si>
  <si>
    <t>152 - Malásia</t>
  </si>
  <si>
    <t>Malaui</t>
  </si>
  <si>
    <t>153 - Malaui</t>
  </si>
  <si>
    <t>Maldivas</t>
  </si>
  <si>
    <t>154 - Maldivas</t>
  </si>
  <si>
    <t>Mali</t>
  </si>
  <si>
    <t>155 - Mali</t>
  </si>
  <si>
    <t>Malta</t>
  </si>
  <si>
    <t>156 - Malta</t>
  </si>
  <si>
    <t>Marrocos</t>
  </si>
  <si>
    <t>157 - Marrocos</t>
  </si>
  <si>
    <t>Martinica</t>
  </si>
  <si>
    <t>158 - Martinica</t>
  </si>
  <si>
    <t>Maurício</t>
  </si>
  <si>
    <t>159 - Maurício</t>
  </si>
  <si>
    <t>Mauritânia</t>
  </si>
  <si>
    <t>160 - Mauritânia</t>
  </si>
  <si>
    <t>Mayotte</t>
  </si>
  <si>
    <t>161 - Mayotte</t>
  </si>
  <si>
    <t>Mexico</t>
  </si>
  <si>
    <t>162 - Mexico</t>
  </si>
  <si>
    <t>Micronésia</t>
  </si>
  <si>
    <t>163 - Micronésia</t>
  </si>
  <si>
    <t>Moçambique</t>
  </si>
  <si>
    <t>164 - Moçambique</t>
  </si>
  <si>
    <t>Moldova</t>
  </si>
  <si>
    <t>165 - Moldova</t>
  </si>
  <si>
    <t>Mônaco</t>
  </si>
  <si>
    <t>166 - Mônaco</t>
  </si>
  <si>
    <t>Mongólia</t>
  </si>
  <si>
    <t>167 - Mongólia</t>
  </si>
  <si>
    <t>Montenegro</t>
  </si>
  <si>
    <t>168 - Montenegro</t>
  </si>
  <si>
    <t>Montserrat</t>
  </si>
  <si>
    <t>169 - Montserrat</t>
  </si>
  <si>
    <t>Myanma (Ex-Burma)</t>
  </si>
  <si>
    <t>170 - Myanma (Ex-Burma)</t>
  </si>
  <si>
    <t>Namíbia</t>
  </si>
  <si>
    <t>171 - Namíbia</t>
  </si>
  <si>
    <t>Nauru</t>
  </si>
  <si>
    <t>172 - Nauru</t>
  </si>
  <si>
    <t>Nepal</t>
  </si>
  <si>
    <t>173 - Nepal</t>
  </si>
  <si>
    <t>Nicarágua</t>
  </si>
  <si>
    <t>174 - Nicarágua</t>
  </si>
  <si>
    <t>Níger</t>
  </si>
  <si>
    <t>175 - Níger</t>
  </si>
  <si>
    <t>Nigéria</t>
  </si>
  <si>
    <t>176 - Nigéria</t>
  </si>
  <si>
    <t>Niue</t>
  </si>
  <si>
    <t>177 - Niue</t>
  </si>
  <si>
    <t>Noruega</t>
  </si>
  <si>
    <t>178 - Noruega</t>
  </si>
  <si>
    <t>Nova Caledônia</t>
  </si>
  <si>
    <t>179 - Nova Caledônia</t>
  </si>
  <si>
    <t>Nova Zelândia</t>
  </si>
  <si>
    <t>180 - Nova Zelândia</t>
  </si>
  <si>
    <t>Omã</t>
  </si>
  <si>
    <t>181 - Omã</t>
  </si>
  <si>
    <t>Palau</t>
  </si>
  <si>
    <t>182 - Palau</t>
  </si>
  <si>
    <t>Panamá</t>
  </si>
  <si>
    <t>183 - Panamá</t>
  </si>
  <si>
    <t>Papua-Nova Guiné</t>
  </si>
  <si>
    <t>184 - Papua-Nova Guiné</t>
  </si>
  <si>
    <t>Paquistão</t>
  </si>
  <si>
    <t>185 - Paquistão</t>
  </si>
  <si>
    <t>Paraguai</t>
  </si>
  <si>
    <t>186 - Paraguai</t>
  </si>
  <si>
    <t>Peru</t>
  </si>
  <si>
    <t>187 - Peru</t>
  </si>
  <si>
    <t>Polinésia Francesa</t>
  </si>
  <si>
    <t>188 - Polinésia Francesa</t>
  </si>
  <si>
    <t>Polônia</t>
  </si>
  <si>
    <t>189 - Polônia</t>
  </si>
  <si>
    <t>Porto Rico</t>
  </si>
  <si>
    <t>190 - Porto Rico</t>
  </si>
  <si>
    <t>Portugal</t>
  </si>
  <si>
    <t>191 - Portugal</t>
  </si>
  <si>
    <t>Qatar</t>
  </si>
  <si>
    <t>192 - Qatar</t>
  </si>
  <si>
    <t>República Centro-Africana</t>
  </si>
  <si>
    <t>193 - República Centro-Africana</t>
  </si>
  <si>
    <t>República Democrática do Congo (ex-Zaire)</t>
  </si>
  <si>
    <t>194 - República Democrática do Congo (ex-Zaire)</t>
  </si>
  <si>
    <t>República Dominicana</t>
  </si>
  <si>
    <t>195 - República Dominicana</t>
  </si>
  <si>
    <t>República Tcheca</t>
  </si>
  <si>
    <t>196 - República Tcheca</t>
  </si>
  <si>
    <t>Romênia</t>
  </si>
  <si>
    <t>197 - Romênia</t>
  </si>
  <si>
    <t>Ruanda</t>
  </si>
  <si>
    <t>198 - Ruanda</t>
  </si>
  <si>
    <t>Saara Ocidental (Ex-Spanish Sahara)</t>
  </si>
  <si>
    <t>199 - Saara Ocidental (Ex-Spanish Sahara)</t>
  </si>
  <si>
    <t>Saint Vincente e Granadinas</t>
  </si>
  <si>
    <t>200 - Saint Vincente e Granadinas</t>
  </si>
  <si>
    <t>Samoa Americana</t>
  </si>
  <si>
    <t>201 - Samoa Americana</t>
  </si>
  <si>
    <t>Samoa Ocidental</t>
  </si>
  <si>
    <t>202 - Samoa Ocidental</t>
  </si>
  <si>
    <t>San Marino</t>
  </si>
  <si>
    <t>203 - San Marino</t>
  </si>
  <si>
    <t>Santa Helena</t>
  </si>
  <si>
    <t>204 - Santa Helena</t>
  </si>
  <si>
    <t>Santa Lúcia</t>
  </si>
  <si>
    <t>205 - Santa Lúcia</t>
  </si>
  <si>
    <t>São Bartolomeu</t>
  </si>
  <si>
    <t>206 - São Bartolomeu</t>
  </si>
  <si>
    <t>São Cristóvão e Névis</t>
  </si>
  <si>
    <t>207 - São Cristóvão e Névis</t>
  </si>
  <si>
    <t>São Martim</t>
  </si>
  <si>
    <t>208 - São Martim</t>
  </si>
  <si>
    <t>São Tomé e Príncipe</t>
  </si>
  <si>
    <t>209 - São Tomé e Príncipe</t>
  </si>
  <si>
    <t>Senegal</t>
  </si>
  <si>
    <t>210 - Senegal</t>
  </si>
  <si>
    <t>Serra Leoa</t>
  </si>
  <si>
    <t>211 - Serra Leoa</t>
  </si>
  <si>
    <t>Sérvia</t>
  </si>
  <si>
    <t>212 - Sérvia</t>
  </si>
  <si>
    <t>Síria</t>
  </si>
  <si>
    <t>213 - Síria</t>
  </si>
  <si>
    <t>Somália</t>
  </si>
  <si>
    <t>214 - Somália</t>
  </si>
  <si>
    <t>Sri Lanka</t>
  </si>
  <si>
    <t>215 - Sri Lanka</t>
  </si>
  <si>
    <t>St. Pierre and Miquelon</t>
  </si>
  <si>
    <t>216 - St. Pierre and Miquelon</t>
  </si>
  <si>
    <t>Suazilândia</t>
  </si>
  <si>
    <t>217 - Suazilândia</t>
  </si>
  <si>
    <t>Sudão</t>
  </si>
  <si>
    <t>218 - Sudão</t>
  </si>
  <si>
    <t>Suécia</t>
  </si>
  <si>
    <t>219 - Suécia</t>
  </si>
  <si>
    <t>Suíça</t>
  </si>
  <si>
    <t>220 - Suíça</t>
  </si>
  <si>
    <t>Suriname</t>
  </si>
  <si>
    <t>221 - Suriname</t>
  </si>
  <si>
    <t>Tadjiquistão</t>
  </si>
  <si>
    <t>222 - Tadjiquistão</t>
  </si>
  <si>
    <t>Tailândia</t>
  </si>
  <si>
    <t>223 - Tailândia</t>
  </si>
  <si>
    <t>Taiwan</t>
  </si>
  <si>
    <t>224 - Taiwan</t>
  </si>
  <si>
    <t>Tanzânia</t>
  </si>
  <si>
    <t>225 - Tanzânia</t>
  </si>
  <si>
    <t>Território Britânico do Oceano índico</t>
  </si>
  <si>
    <t>226 - Território Britânico do Oceano índico</t>
  </si>
  <si>
    <t>Territórios do Sul da França</t>
  </si>
  <si>
    <t>227 - Territórios do Sul da França</t>
  </si>
  <si>
    <t>Territórios Palestinos Ocupados</t>
  </si>
  <si>
    <t>228 - Territórios Palestinos Ocupados</t>
  </si>
  <si>
    <t>Timor Leste (Ex-East Timor)</t>
  </si>
  <si>
    <t>229 - Timor Leste (Ex-East Timor)</t>
  </si>
  <si>
    <t>Togo</t>
  </si>
  <si>
    <t>230 - Togo</t>
  </si>
  <si>
    <t>Tonga</t>
  </si>
  <si>
    <t>231 - Tonga</t>
  </si>
  <si>
    <t>Trinidad and Tobago</t>
  </si>
  <si>
    <t>232 - Trinidad and Tobago</t>
  </si>
  <si>
    <t>Tunísia</t>
  </si>
  <si>
    <t>233 - Tunísia</t>
  </si>
  <si>
    <t>Turcomenistão</t>
  </si>
  <si>
    <t>234 - Turcomenistão</t>
  </si>
  <si>
    <t>Turquia</t>
  </si>
  <si>
    <t>235 - Turquia</t>
  </si>
  <si>
    <t>Tuvalu</t>
  </si>
  <si>
    <t>236 - Tuvalu</t>
  </si>
  <si>
    <t>Ucrânia</t>
  </si>
  <si>
    <t>237 - Ucrânia</t>
  </si>
  <si>
    <t>Uganda</t>
  </si>
  <si>
    <t>238 - Uganda</t>
  </si>
  <si>
    <t>Uruguai</t>
  </si>
  <si>
    <t>239 - Uruguai</t>
  </si>
  <si>
    <t>Uzbequistão</t>
  </si>
  <si>
    <t>240 - Uzbequistão</t>
  </si>
  <si>
    <t>Vanuatu</t>
  </si>
  <si>
    <t>241 - Vanuatu</t>
  </si>
  <si>
    <t>Vaticano</t>
  </si>
  <si>
    <t>242 - Vaticano</t>
  </si>
  <si>
    <t>Venezuela</t>
  </si>
  <si>
    <t>243 - Venezuela</t>
  </si>
  <si>
    <t>Vietnam</t>
  </si>
  <si>
    <t>244 - Vietnam</t>
  </si>
  <si>
    <t>Zâmbia</t>
  </si>
  <si>
    <t>245 - Zâmbia</t>
  </si>
  <si>
    <t>Zimbábue</t>
  </si>
  <si>
    <t>246 - Zimbábue</t>
  </si>
  <si>
    <t>Áreas Formação CNAEF</t>
  </si>
  <si>
    <t>010</t>
  </si>
  <si>
    <t>Programas de base</t>
  </si>
  <si>
    <t>010 - Programas de base</t>
  </si>
  <si>
    <t>080</t>
  </si>
  <si>
    <t>Alfabetização</t>
  </si>
  <si>
    <t>080 - Alfabetização</t>
  </si>
  <si>
    <t>090</t>
  </si>
  <si>
    <t>Desenvolvimento pessoal</t>
  </si>
  <si>
    <t>090 - Desenvolvimento pessoal</t>
  </si>
  <si>
    <t>140</t>
  </si>
  <si>
    <t>Formação de professores/formadores e ciências da educação(*)</t>
  </si>
  <si>
    <t>140 - Formação de professores/formadores e ciências da educação(*)</t>
  </si>
  <si>
    <t>142</t>
  </si>
  <si>
    <t>Ciências da educação</t>
  </si>
  <si>
    <t>142 - Ciências da educação</t>
  </si>
  <si>
    <t>143</t>
  </si>
  <si>
    <t>Formação de educadores de infância</t>
  </si>
  <si>
    <t>143 - Formação de educadores de infância</t>
  </si>
  <si>
    <t>144</t>
  </si>
  <si>
    <t>Formação de professores do ensino básico (1.º e 2.º ciclos)</t>
  </si>
  <si>
    <t>144 - Formação de professores do ensino básico (1.º e 2.º ciclos)</t>
  </si>
  <si>
    <t>145</t>
  </si>
  <si>
    <t>Formação de professores de áreas disciplinares específicas</t>
  </si>
  <si>
    <t>145 - Formação de professores de áreas disciplinares específicas</t>
  </si>
  <si>
    <t>146</t>
  </si>
  <si>
    <t>Formação de professores e formadores de áreas tecnológicas</t>
  </si>
  <si>
    <t>146 - Formação de professores e formadores de áreas tecnológicas</t>
  </si>
  <si>
    <t>149</t>
  </si>
  <si>
    <t>Formação de professores/formadores e ciências da educação - programas não classificados noutra área de formação</t>
  </si>
  <si>
    <t>149 - Formação de professores/formadores e ciências da educação - programas não classificados noutra área de formação</t>
  </si>
  <si>
    <t>210</t>
  </si>
  <si>
    <t>Artes(*)</t>
  </si>
  <si>
    <t>210 - Artes(*)</t>
  </si>
  <si>
    <t>211</t>
  </si>
  <si>
    <t>Belas Artes</t>
  </si>
  <si>
    <t>211 - Belas Artes</t>
  </si>
  <si>
    <t>212</t>
  </si>
  <si>
    <t>Artes do Espectáculo</t>
  </si>
  <si>
    <t>212 - Artes do Espectáculo</t>
  </si>
  <si>
    <t>213</t>
  </si>
  <si>
    <t>Audiovisuais e produção dos media</t>
  </si>
  <si>
    <t>213 - Audiovisuais e produção dos media</t>
  </si>
  <si>
    <t>214</t>
  </si>
  <si>
    <t>Design</t>
  </si>
  <si>
    <t>214 - Design</t>
  </si>
  <si>
    <t>215</t>
  </si>
  <si>
    <t>Artesanato</t>
  </si>
  <si>
    <t>215 - Artesanato</t>
  </si>
  <si>
    <t>219</t>
  </si>
  <si>
    <t>Artes - programas não classificados noutra área de formação</t>
  </si>
  <si>
    <t>219 - Artes - programas não classificados noutra área de formação</t>
  </si>
  <si>
    <t>220</t>
  </si>
  <si>
    <t>Humanidades(*)</t>
  </si>
  <si>
    <t>220 - Humanidades(*)</t>
  </si>
  <si>
    <t>221</t>
  </si>
  <si>
    <t>Religião e teologia</t>
  </si>
  <si>
    <t>221 - Religião e teologia</t>
  </si>
  <si>
    <t>222</t>
  </si>
  <si>
    <t>Línguas e literaturas estrangeiras</t>
  </si>
  <si>
    <t>222 - Línguas e literaturas estrangeiras</t>
  </si>
  <si>
    <t>223</t>
  </si>
  <si>
    <t>Língua e literatura materna</t>
  </si>
  <si>
    <t>223 - Língua e literatura materna</t>
  </si>
  <si>
    <t>225</t>
  </si>
  <si>
    <t>História e arqueologia</t>
  </si>
  <si>
    <t>225 - História e arqueologia</t>
  </si>
  <si>
    <t>226</t>
  </si>
  <si>
    <t>Filosofia e ética</t>
  </si>
  <si>
    <t>226 - Filosofia e ética</t>
  </si>
  <si>
    <t>229</t>
  </si>
  <si>
    <t>Humanidades - programas não classificados noutra área de formação</t>
  </si>
  <si>
    <t>229 - Humanidades - programas não classificados noutra área de formação</t>
  </si>
  <si>
    <t>310</t>
  </si>
  <si>
    <t>Ciências sociais e do comportamento(*)</t>
  </si>
  <si>
    <t>310 - Ciências sociais e do comportamento(*)</t>
  </si>
  <si>
    <t>311</t>
  </si>
  <si>
    <t>Psicologia</t>
  </si>
  <si>
    <t>311 - Psicologia</t>
  </si>
  <si>
    <t>312</t>
  </si>
  <si>
    <t>Sociologia e outros estudos</t>
  </si>
  <si>
    <t>312 - Sociologia e outros estudos</t>
  </si>
  <si>
    <t>313</t>
  </si>
  <si>
    <t>Ciência política e cidadania</t>
  </si>
  <si>
    <t>313 - Ciência política e cidadania</t>
  </si>
  <si>
    <t>314</t>
  </si>
  <si>
    <t>Economia</t>
  </si>
  <si>
    <t>314 - Economia</t>
  </si>
  <si>
    <t>319</t>
  </si>
  <si>
    <t>Ciências sociais e do comportamento - programas não classificados noutra área de formação</t>
  </si>
  <si>
    <t>319 - Ciências sociais e do comportamento - programas não classificados noutra área de formação</t>
  </si>
  <si>
    <t>320</t>
  </si>
  <si>
    <t>Informação e jornalismo(*)</t>
  </si>
  <si>
    <t>320 - Informação e jornalismo(*)</t>
  </si>
  <si>
    <t>321</t>
  </si>
  <si>
    <t>Jornalismo e reportagem</t>
  </si>
  <si>
    <t>321 - Jornalismo e reportagem</t>
  </si>
  <si>
    <t>322</t>
  </si>
  <si>
    <t>Biblioteconomia, arquivo e documentação (BAD)</t>
  </si>
  <si>
    <t>322 - Biblioteconomia, arquivo e documentação (BAD)</t>
  </si>
  <si>
    <t>329</t>
  </si>
  <si>
    <t>Informação e jornalismo - Programas não classificados noutra área de formação</t>
  </si>
  <si>
    <t>329 - Informação e jornalismo - Programas não classificados noutra área de formação</t>
  </si>
  <si>
    <t>340</t>
  </si>
  <si>
    <t>Ciências empresariais(*)</t>
  </si>
  <si>
    <t>340 - Ciências empresariais(*)</t>
  </si>
  <si>
    <t>341</t>
  </si>
  <si>
    <t>Comércio</t>
  </si>
  <si>
    <t>341 - Comércio</t>
  </si>
  <si>
    <t>342</t>
  </si>
  <si>
    <t>Marketing e publicidade</t>
  </si>
  <si>
    <t>342 - Marketing e publicidade</t>
  </si>
  <si>
    <t>343</t>
  </si>
  <si>
    <t>Finanças, banca e seguros</t>
  </si>
  <si>
    <t>343 - Finanças, banca e seguros</t>
  </si>
  <si>
    <t>344</t>
  </si>
  <si>
    <t>Contabilidade e fiscalidade</t>
  </si>
  <si>
    <t>344 - Contabilidade e fiscalidade</t>
  </si>
  <si>
    <t>345</t>
  </si>
  <si>
    <t>Gestão e administração</t>
  </si>
  <si>
    <t>345 - Gestão e administração</t>
  </si>
  <si>
    <t>346</t>
  </si>
  <si>
    <t>Secretariado e trabalho administrativo</t>
  </si>
  <si>
    <t>346 - Secretariado e trabalho administrativo</t>
  </si>
  <si>
    <t>347</t>
  </si>
  <si>
    <t>Enquadramento na organização/ empresa</t>
  </si>
  <si>
    <t>347 - Enquadramento na organização/ empresa</t>
  </si>
  <si>
    <t>349</t>
  </si>
  <si>
    <t>Ciências empresariais - programas não classificados noutra área de formação</t>
  </si>
  <si>
    <t>349 - Ciências empresariais - programas não classificados noutra área de formação</t>
  </si>
  <si>
    <t>380</t>
  </si>
  <si>
    <t>Direito</t>
  </si>
  <si>
    <t>380 - Direito</t>
  </si>
  <si>
    <t>420</t>
  </si>
  <si>
    <t>Ciências da vida(*)</t>
  </si>
  <si>
    <t>420 - Ciências da vida(*)</t>
  </si>
  <si>
    <t>421</t>
  </si>
  <si>
    <t>Biologia e bioquímica</t>
  </si>
  <si>
    <t>421 - Biologia e bioquímica</t>
  </si>
  <si>
    <t>422</t>
  </si>
  <si>
    <t>Ciências do ambiente</t>
  </si>
  <si>
    <t>422 - Ciências do ambiente</t>
  </si>
  <si>
    <t>429</t>
  </si>
  <si>
    <t>Ciências da vida - programas não classificados noutra área de formação</t>
  </si>
  <si>
    <t>429 - Ciências da vida - programas não classificados noutra área de formação</t>
  </si>
  <si>
    <t>440</t>
  </si>
  <si>
    <t>Ciências físicas(*)</t>
  </si>
  <si>
    <t>440 - Ciências físicas(*)</t>
  </si>
  <si>
    <t>441</t>
  </si>
  <si>
    <t>Física</t>
  </si>
  <si>
    <t>441 - Física</t>
  </si>
  <si>
    <t>442</t>
  </si>
  <si>
    <t>Química</t>
  </si>
  <si>
    <t>442 - Química</t>
  </si>
  <si>
    <t>443</t>
  </si>
  <si>
    <t>Ciências da terra</t>
  </si>
  <si>
    <t>443 - Ciências da terra</t>
  </si>
  <si>
    <t>449</t>
  </si>
  <si>
    <t>Ciências físicas - programas não classificados noutra área de formação</t>
  </si>
  <si>
    <t>449 - Ciências físicas - programas não classificados noutra área de formação</t>
  </si>
  <si>
    <t>460</t>
  </si>
  <si>
    <t>Matemática e estatística(*)</t>
  </si>
  <si>
    <t>460 - Matemática e estatística(*)</t>
  </si>
  <si>
    <t>461</t>
  </si>
  <si>
    <t>Matemática</t>
  </si>
  <si>
    <t>461 - Matemática</t>
  </si>
  <si>
    <t>462</t>
  </si>
  <si>
    <t>Estatística</t>
  </si>
  <si>
    <t>462 - Estatística</t>
  </si>
  <si>
    <t>469</t>
  </si>
  <si>
    <t>Matemática e estatística - programas não classificados noutra área de formação</t>
  </si>
  <si>
    <t>469 - Matemática e estatística - programas não classificados noutra área de formação</t>
  </si>
  <si>
    <t>480</t>
  </si>
  <si>
    <t>Informática(*)</t>
  </si>
  <si>
    <t>480 - Informática(*)</t>
  </si>
  <si>
    <t>481</t>
  </si>
  <si>
    <t>Ciências informáticas</t>
  </si>
  <si>
    <t>481 - Ciências informáticas</t>
  </si>
  <si>
    <t>482</t>
  </si>
  <si>
    <t>Informática na óptica do utilizador</t>
  </si>
  <si>
    <t>482 - Informática na óptica do utilizador</t>
  </si>
  <si>
    <t>489</t>
  </si>
  <si>
    <t>Informática - programas não classificados noutra área de formação</t>
  </si>
  <si>
    <t>489 - Informática - programas não classificados noutra área de formação</t>
  </si>
  <si>
    <t>520</t>
  </si>
  <si>
    <t>Engenharia e técnicas afins(*)</t>
  </si>
  <si>
    <t>520 - Engenharia e técnicas afins(*)</t>
  </si>
  <si>
    <t>521</t>
  </si>
  <si>
    <t>Metalurgia e metalomecânica</t>
  </si>
  <si>
    <t>521 - Metalurgia e metalomecânica</t>
  </si>
  <si>
    <t>522</t>
  </si>
  <si>
    <t>Electricidade e energia</t>
  </si>
  <si>
    <t>522 - Electricidade e energia</t>
  </si>
  <si>
    <t>523</t>
  </si>
  <si>
    <t>Electrónica e automação</t>
  </si>
  <si>
    <t>523 - Electrónica e automação</t>
  </si>
  <si>
    <t>524</t>
  </si>
  <si>
    <t>Tecnologia dos processos químicos</t>
  </si>
  <si>
    <t>524 - Tecnologia dos processos químicos</t>
  </si>
  <si>
    <t>525</t>
  </si>
  <si>
    <t>Construção e reparação de veículos a motor</t>
  </si>
  <si>
    <t>525 - Construção e reparação de veículos a motor</t>
  </si>
  <si>
    <t>529</t>
  </si>
  <si>
    <t>Engenharia e técnicas afins - programas não classificados noutra área de formação</t>
  </si>
  <si>
    <t>529 - Engenharia e técnicas afins - programas não classificados noutra área de formação</t>
  </si>
  <si>
    <t>540</t>
  </si>
  <si>
    <t>Indústrias transformadoras(*)</t>
  </si>
  <si>
    <t>540 - Indústrias transformadoras(*)</t>
  </si>
  <si>
    <t>541</t>
  </si>
  <si>
    <t>Indústrias alimentares</t>
  </si>
  <si>
    <t>541 - Indústrias alimentares</t>
  </si>
  <si>
    <t>542</t>
  </si>
  <si>
    <t>Indústrias do têxtil, vestuário, calçado e couro</t>
  </si>
  <si>
    <t>542 - Indústrias do têxtil, vestuário, calçado e couro</t>
  </si>
  <si>
    <t>543</t>
  </si>
  <si>
    <t>Materiais (indústrias da madeira, cortiça, papel, plástico, vidro e outros)</t>
  </si>
  <si>
    <t>543 - Materiais (indústrias da madeira, cortiça, papel, plástico, vidro e outros)</t>
  </si>
  <si>
    <t>544</t>
  </si>
  <si>
    <t>Indústrias extractivas</t>
  </si>
  <si>
    <t>544 - Indústrias extractivas</t>
  </si>
  <si>
    <t>549</t>
  </si>
  <si>
    <t>Indústrias transformadoras - programas não classificados noutra área de formação</t>
  </si>
  <si>
    <t>549 - Indústrias transformadoras - programas não classificados noutra área de formação</t>
  </si>
  <si>
    <t>580</t>
  </si>
  <si>
    <t>Arquitectura e construção(*)</t>
  </si>
  <si>
    <t>580 - Arquitectura e construção(*)</t>
  </si>
  <si>
    <t>581</t>
  </si>
  <si>
    <t>Arquitectura e urbanismo</t>
  </si>
  <si>
    <t>581 - Arquitectura e urbanismo</t>
  </si>
  <si>
    <t>582</t>
  </si>
  <si>
    <t>Construção civil e engenharia civil</t>
  </si>
  <si>
    <t>582 - Construção civil e engenharia civil</t>
  </si>
  <si>
    <t>589</t>
  </si>
  <si>
    <t>Arquitectura e construção - programas não classificados noutra área de formação</t>
  </si>
  <si>
    <t>589 - Arquitectura e construção - programas não classificados noutra área de formação</t>
  </si>
  <si>
    <t>620</t>
  </si>
  <si>
    <t>Agricultura, silvicultura e pescas(*)</t>
  </si>
  <si>
    <t>620 - Agricultura, silvicultura e pescas(*)</t>
  </si>
  <si>
    <t>621</t>
  </si>
  <si>
    <t>Produção agrícola e animal</t>
  </si>
  <si>
    <t>621 - Produção agrícola e animal</t>
  </si>
  <si>
    <t>622</t>
  </si>
  <si>
    <t>Floricultura e jardinagem</t>
  </si>
  <si>
    <t>622 - Floricultura e jardinagem</t>
  </si>
  <si>
    <t>623</t>
  </si>
  <si>
    <t>Silvicultura e caça</t>
  </si>
  <si>
    <t>623 - Silvicultura e caça</t>
  </si>
  <si>
    <t>624</t>
  </si>
  <si>
    <t>Pescas</t>
  </si>
  <si>
    <t>624 - Pescas</t>
  </si>
  <si>
    <t>629</t>
  </si>
  <si>
    <t>Agricultura, silvicultura e pescas - programas não classificados noutra área de formação</t>
  </si>
  <si>
    <t>629 - Agricultura, silvicultura e pescas - programas não classificados noutra área de formação</t>
  </si>
  <si>
    <t>640</t>
  </si>
  <si>
    <t>Ciências veterinárias</t>
  </si>
  <si>
    <t>640 - Ciências veterinárias</t>
  </si>
  <si>
    <t>720</t>
  </si>
  <si>
    <t>Saúde(*)</t>
  </si>
  <si>
    <t>720 - Saúde(*)</t>
  </si>
  <si>
    <t>721</t>
  </si>
  <si>
    <t>Medicina</t>
  </si>
  <si>
    <t>721 - Medicina</t>
  </si>
  <si>
    <t>723</t>
  </si>
  <si>
    <t>Enfermagem</t>
  </si>
  <si>
    <t>723 - Enfermagem</t>
  </si>
  <si>
    <t>724</t>
  </si>
  <si>
    <t>Ciências dentárias</t>
  </si>
  <si>
    <t>724 - Ciências dentárias</t>
  </si>
  <si>
    <t>725</t>
  </si>
  <si>
    <t>Tecnologias de diagnóstico e terapêutica</t>
  </si>
  <si>
    <t>725 - Tecnologias de diagnóstico e terapêutica</t>
  </si>
  <si>
    <t>726</t>
  </si>
  <si>
    <t>Terapia e reabilitação</t>
  </si>
  <si>
    <t>726 - Terapia e reabilitação</t>
  </si>
  <si>
    <t>727</t>
  </si>
  <si>
    <t>Ciências farmacêuticas</t>
  </si>
  <si>
    <t>727 - Ciências farmacêuticas</t>
  </si>
  <si>
    <t>729</t>
  </si>
  <si>
    <t>Saúde - programas não classificados noutra área de formação</t>
  </si>
  <si>
    <t>729 - Saúde - programas não classificados noutra área de formação</t>
  </si>
  <si>
    <t>760</t>
  </si>
  <si>
    <t>Serviços sociais(*)</t>
  </si>
  <si>
    <t>760 - Serviços sociais(*)</t>
  </si>
  <si>
    <t>761</t>
  </si>
  <si>
    <t>Serviços de apoio a crianças e jovens</t>
  </si>
  <si>
    <t>761 - Serviços de apoio a crianças e jovens</t>
  </si>
  <si>
    <t>762</t>
  </si>
  <si>
    <t>Trabalho social e orientação</t>
  </si>
  <si>
    <t>762 - Trabalho social e orientação</t>
  </si>
  <si>
    <t>769</t>
  </si>
  <si>
    <t>Serviços sociais - programas não classificados noutra área de formação</t>
  </si>
  <si>
    <t>769 - Serviços sociais - programas não classificados noutra área de formação</t>
  </si>
  <si>
    <t>810</t>
  </si>
  <si>
    <t>Serviços pessoais(*)</t>
  </si>
  <si>
    <t>810 - Serviços pessoais(*)</t>
  </si>
  <si>
    <t>811</t>
  </si>
  <si>
    <t>Hotelaria e restauração</t>
  </si>
  <si>
    <t>811 - Hotelaria e restauração</t>
  </si>
  <si>
    <t>812</t>
  </si>
  <si>
    <t>Turismo e lazer</t>
  </si>
  <si>
    <t>812 - Turismo e lazer</t>
  </si>
  <si>
    <t>813</t>
  </si>
  <si>
    <t>Desporto</t>
  </si>
  <si>
    <t>813 - Desporto</t>
  </si>
  <si>
    <t>814</t>
  </si>
  <si>
    <t>Serviços domésticos</t>
  </si>
  <si>
    <t>814 - Serviços domésticos</t>
  </si>
  <si>
    <t>815</t>
  </si>
  <si>
    <t>Cuidados de beleza</t>
  </si>
  <si>
    <t>815 - Cuidados de beleza</t>
  </si>
  <si>
    <t>819</t>
  </si>
  <si>
    <t>Serviços pessoais - programas não classificados noutra área de formação</t>
  </si>
  <si>
    <t>819 - Serviços pessoais - programas não classificados noutra área de formação</t>
  </si>
  <si>
    <t>840</t>
  </si>
  <si>
    <t>Serviços de transporte</t>
  </si>
  <si>
    <t>840 - Serviços de transporte</t>
  </si>
  <si>
    <t>850</t>
  </si>
  <si>
    <t>Protecção do ambiente(*)</t>
  </si>
  <si>
    <t>850 - Protecção do ambiente(*)</t>
  </si>
  <si>
    <t>851</t>
  </si>
  <si>
    <t>Tecnologia de protecção do ambiente</t>
  </si>
  <si>
    <t>851 - Tecnologia de protecção do ambiente</t>
  </si>
  <si>
    <t>852</t>
  </si>
  <si>
    <t>Ambientes naturais e vida selvagem</t>
  </si>
  <si>
    <t>852 - Ambientes naturais e vida selvagem</t>
  </si>
  <si>
    <t>853</t>
  </si>
  <si>
    <t>Serviços de saúde pública</t>
  </si>
  <si>
    <t>853 - Serviços de saúde pública</t>
  </si>
  <si>
    <t>859</t>
  </si>
  <si>
    <t>Protecção do ambiente - programas não classificados noutra área de formação</t>
  </si>
  <si>
    <t>859 - Protecção do ambiente - programas não classificados noutra área de formação</t>
  </si>
  <si>
    <t>860</t>
  </si>
  <si>
    <t>Serviços de segurança(*)</t>
  </si>
  <si>
    <t>860 - Serviços de segurança(*)</t>
  </si>
  <si>
    <t>861</t>
  </si>
  <si>
    <t>Protecção de pessoas e bens</t>
  </si>
  <si>
    <t>861 - Protecção de pessoas e bens</t>
  </si>
  <si>
    <t>862</t>
  </si>
  <si>
    <t>Segurança e higiene no trabalho</t>
  </si>
  <si>
    <t>862 - Segurança e higiene no trabalho</t>
  </si>
  <si>
    <t>863</t>
  </si>
  <si>
    <t>Segurança militar</t>
  </si>
  <si>
    <t>863 - Segurança militar</t>
  </si>
  <si>
    <t>869</t>
  </si>
  <si>
    <t>Serviços de segurança - programas não classificados noutra área de formação</t>
  </si>
  <si>
    <t>869 - Serviços de segurança - programas não classificados noutra área de formação</t>
  </si>
  <si>
    <t>Área Científica</t>
  </si>
  <si>
    <t>1 - Matemática</t>
  </si>
  <si>
    <t>Ciências da Computação e da Informação</t>
  </si>
  <si>
    <t>2 - Ciências da Computação e da Informação</t>
  </si>
  <si>
    <t>3 - Física</t>
  </si>
  <si>
    <t>4 - Química</t>
  </si>
  <si>
    <t>Ciências da Terra e do Ambiente</t>
  </si>
  <si>
    <t>5 - Ciências da Terra e do Ambiente</t>
  </si>
  <si>
    <t>Ciências Biológicas</t>
  </si>
  <si>
    <t>6 - Ciências Biológicas</t>
  </si>
  <si>
    <t>Outras Ciências Naturais</t>
  </si>
  <si>
    <t>7 - Outras Ciências Naturais</t>
  </si>
  <si>
    <t>Engenharia Civil</t>
  </si>
  <si>
    <t>8 - Engenharia Civil</t>
  </si>
  <si>
    <t>Engenharia Eletrotécnica, Eletrónica e Informática</t>
  </si>
  <si>
    <t>9 - Engenharia Eletrotécnica, Eletrónica e Informática</t>
  </si>
  <si>
    <t>Engenharia Mecânica</t>
  </si>
  <si>
    <t>10 - Engenharia Mecânica</t>
  </si>
  <si>
    <t>Engenharia Química</t>
  </si>
  <si>
    <t>11 - Engenharia Química</t>
  </si>
  <si>
    <t>Engenharia dos Materiais</t>
  </si>
  <si>
    <t>12 - Engenharia dos Materiais</t>
  </si>
  <si>
    <t>Engenharia Médica</t>
  </si>
  <si>
    <t>13 - Engenharia Médica</t>
  </si>
  <si>
    <t>Engenharia do Ambiente</t>
  </si>
  <si>
    <t>14 - Engenharia do Ambiente</t>
  </si>
  <si>
    <t>Biotecnologia Ambiental</t>
  </si>
  <si>
    <t>15 - Biotecnologia Ambiental</t>
  </si>
  <si>
    <t>Biotecnologia Industrial</t>
  </si>
  <si>
    <t>16 - Biotecnologia Industrial</t>
  </si>
  <si>
    <t>Nanotecnologia</t>
  </si>
  <si>
    <t>17 - Nanotecnologia</t>
  </si>
  <si>
    <t>Outras Ciências da Engenharia e Tecnologias</t>
  </si>
  <si>
    <t>18 - Outras Ciências da Engenharia e Tecnologias</t>
  </si>
  <si>
    <t>Medicina Básica</t>
  </si>
  <si>
    <t>19 - Medicina Básica</t>
  </si>
  <si>
    <t>Medicina Clínica</t>
  </si>
  <si>
    <t>20 - Medicina Clínica</t>
  </si>
  <si>
    <t>Ciências da Saúde</t>
  </si>
  <si>
    <t>21 - Ciências da Saúde</t>
  </si>
  <si>
    <t>Biotecnologia Médica</t>
  </si>
  <si>
    <t>22 - Biotecnologia Médica</t>
  </si>
  <si>
    <t>Outras Ciências Médicas</t>
  </si>
  <si>
    <t>23 - Outras Ciências Médicas</t>
  </si>
  <si>
    <t>Agricultura, Silvicultura e Pescas</t>
  </si>
  <si>
    <t>24 - Agricultura, Silvicultura e Pescas</t>
  </si>
  <si>
    <t>Ciência Animal e dos Lacticínios</t>
  </si>
  <si>
    <t>25 - Ciência Animal e dos Lacticínios</t>
  </si>
  <si>
    <t>Ciências Veterinárias</t>
  </si>
  <si>
    <t>26 - Ciências Veterinárias</t>
  </si>
  <si>
    <t>Biotecnologia Agrária e Alimentar</t>
  </si>
  <si>
    <t>27 - Biotecnologia Agrária e Alimentar</t>
  </si>
  <si>
    <t>Outras Ciências Agrárias</t>
  </si>
  <si>
    <t>28 - Outras Ciências Agrárias</t>
  </si>
  <si>
    <t>29 - Psicologia</t>
  </si>
  <si>
    <t>Economia e Gestão</t>
  </si>
  <si>
    <t>30 - Economia e Gestão</t>
  </si>
  <si>
    <t>31 - Ciências da educação</t>
  </si>
  <si>
    <t>Sociologia</t>
  </si>
  <si>
    <t>32 - Sociologia</t>
  </si>
  <si>
    <t>33 - Direito</t>
  </si>
  <si>
    <t>Ciências políticas</t>
  </si>
  <si>
    <t>34 - Ciências políticas</t>
  </si>
  <si>
    <t>Geografia económica e social</t>
  </si>
  <si>
    <t>35 - Geografia económica e social</t>
  </si>
  <si>
    <t>Ciências da comunicação</t>
  </si>
  <si>
    <t>36 - Ciências da comunicação</t>
  </si>
  <si>
    <t>Outras ciências sociais</t>
  </si>
  <si>
    <t>37 - Outras ciências sociais</t>
  </si>
  <si>
    <t>História e Arqueologia</t>
  </si>
  <si>
    <t>38 - História e Arqueologia</t>
  </si>
  <si>
    <t>Línguas e literaturas</t>
  </si>
  <si>
    <t>39 - Línguas e literaturas</t>
  </si>
  <si>
    <t>Filosofia, ética e religião</t>
  </si>
  <si>
    <t>40 - Filosofia, ética e religião</t>
  </si>
  <si>
    <t>Artes</t>
  </si>
  <si>
    <t>41 - Artes</t>
  </si>
  <si>
    <t>Outras humanidades</t>
  </si>
  <si>
    <t>42 - Outras humanidades</t>
  </si>
  <si>
    <t>Nacionalidade</t>
  </si>
  <si>
    <t>Afegã</t>
  </si>
  <si>
    <t>1 - Afegã</t>
  </si>
  <si>
    <t>Sul-africana</t>
  </si>
  <si>
    <t>2 - Sul-africana</t>
  </si>
  <si>
    <t>Albanesa</t>
  </si>
  <si>
    <t>3 - Albanesa</t>
  </si>
  <si>
    <t>Alemã</t>
  </si>
  <si>
    <t>4 - Alemã</t>
  </si>
  <si>
    <t>Andorrana</t>
  </si>
  <si>
    <t>5 - Andorrana</t>
  </si>
  <si>
    <t>Angolana</t>
  </si>
  <si>
    <t>6 - Angolana</t>
  </si>
  <si>
    <t>Anguilana</t>
  </si>
  <si>
    <t>7 - Anguilana</t>
  </si>
  <si>
    <t>Antártica</t>
  </si>
  <si>
    <t>8 - Antártica</t>
  </si>
  <si>
    <t>Antiguana</t>
  </si>
  <si>
    <t>9 - Antiguana</t>
  </si>
  <si>
    <t>Antilhana</t>
  </si>
  <si>
    <t>10 - Antilhana</t>
  </si>
  <si>
    <t>Saudita</t>
  </si>
  <si>
    <t>11 - Saudita</t>
  </si>
  <si>
    <t>Argelina</t>
  </si>
  <si>
    <t>12 - Argelina</t>
  </si>
  <si>
    <t>Armena</t>
  </si>
  <si>
    <t>14 - Armena</t>
  </si>
  <si>
    <t>Arubana</t>
  </si>
  <si>
    <t>15 - Arubana</t>
  </si>
  <si>
    <t>Australiana</t>
  </si>
  <si>
    <t>16 - Australiana</t>
  </si>
  <si>
    <t>Austríaca</t>
  </si>
  <si>
    <t>17 - Austríaca</t>
  </si>
  <si>
    <t>Azerbaijana</t>
  </si>
  <si>
    <t>18 - Azerbaijana</t>
  </si>
  <si>
    <t>Bahamense</t>
  </si>
  <si>
    <t>19 - Bahamense</t>
  </si>
  <si>
    <t>Bahreinita</t>
  </si>
  <si>
    <t>20 - Bahreinita</t>
  </si>
  <si>
    <t>Bangladesa</t>
  </si>
  <si>
    <t>21 - Bangladesa</t>
  </si>
  <si>
    <t>Barbadina</t>
  </si>
  <si>
    <t>22 - Barbadina</t>
  </si>
  <si>
    <t>Bielorrussa</t>
  </si>
  <si>
    <t>23 - Bielorrussa</t>
  </si>
  <si>
    <t>Belga</t>
  </si>
  <si>
    <t>24 - Belga</t>
  </si>
  <si>
    <t>Belizenha</t>
  </si>
  <si>
    <t>25 - Belizenha</t>
  </si>
  <si>
    <t>Beninense</t>
  </si>
  <si>
    <t>26 - Beninense</t>
  </si>
  <si>
    <t>Bermudiana</t>
  </si>
  <si>
    <t>27 - Bermudiana</t>
  </si>
  <si>
    <t>Boliviana</t>
  </si>
  <si>
    <t>28 - Boliviana</t>
  </si>
  <si>
    <t>Bósnia</t>
  </si>
  <si>
    <t>29 - Bósnia</t>
  </si>
  <si>
    <t>Botsuanense</t>
  </si>
  <si>
    <t>30 - Botsuanense</t>
  </si>
  <si>
    <t>Brasileira</t>
  </si>
  <si>
    <t>31 - Brasileira</t>
  </si>
  <si>
    <t>Brunelense</t>
  </si>
  <si>
    <t>32 - Brunelense</t>
  </si>
  <si>
    <t>Búlgara</t>
  </si>
  <si>
    <t>33 - Búlgara</t>
  </si>
  <si>
    <t>Burquinês</t>
  </si>
  <si>
    <t>34 - Burquinês</t>
  </si>
  <si>
    <t>Burundesa</t>
  </si>
  <si>
    <t>35 - Burundesa</t>
  </si>
  <si>
    <t>Butanesa</t>
  </si>
  <si>
    <t>36 - Butanesa</t>
  </si>
  <si>
    <t>Cabo-verdiana</t>
  </si>
  <si>
    <t>37 - Cabo-verdiana</t>
  </si>
  <si>
    <t>Camaronesa</t>
  </si>
  <si>
    <t>38 - Camaronesa</t>
  </si>
  <si>
    <t>Cambojana</t>
  </si>
  <si>
    <t>39 - Cambojana</t>
  </si>
  <si>
    <t>Canadense</t>
  </si>
  <si>
    <t>40 - Canadense</t>
  </si>
  <si>
    <t>Cazaque</t>
  </si>
  <si>
    <t>41 - Cazaque</t>
  </si>
  <si>
    <t>Chadiana</t>
  </si>
  <si>
    <t>42 - Chadiana</t>
  </si>
  <si>
    <t>Chilena</t>
  </si>
  <si>
    <t>43 - Chilena</t>
  </si>
  <si>
    <t>Chinesa</t>
  </si>
  <si>
    <t>44 - Chinesa</t>
  </si>
  <si>
    <t>Cipriota</t>
  </si>
  <si>
    <t>45 - Cipriota</t>
  </si>
  <si>
    <t>Singapurense</t>
  </si>
  <si>
    <t>46 - Singapurense</t>
  </si>
  <si>
    <t>Colombiana</t>
  </si>
  <si>
    <t>47 - Colombiana</t>
  </si>
  <si>
    <t>Congolesa</t>
  </si>
  <si>
    <t>48 - Congolesa</t>
  </si>
  <si>
    <t>Norte-coreana</t>
  </si>
  <si>
    <t>49 - Norte-coreana</t>
  </si>
  <si>
    <t>Sul-coreana</t>
  </si>
  <si>
    <t>50 - Sul-coreana</t>
  </si>
  <si>
    <t>Costa-marfinense</t>
  </si>
  <si>
    <t>51 - Costa-marfinense</t>
  </si>
  <si>
    <t>Costarriquenha</t>
  </si>
  <si>
    <t>52 - Costarriquenha</t>
  </si>
  <si>
    <t>Croata</t>
  </si>
  <si>
    <t>53 - Croata</t>
  </si>
  <si>
    <t>Cubana</t>
  </si>
  <si>
    <t>54 - Cubana</t>
  </si>
  <si>
    <t>Dinamarquesa</t>
  </si>
  <si>
    <t>55 - Dinamarquesa</t>
  </si>
  <si>
    <t>Djibutiana</t>
  </si>
  <si>
    <t>56 - Djibutiana</t>
  </si>
  <si>
    <t>Dominicana</t>
  </si>
  <si>
    <t>57 - Dominicana</t>
  </si>
  <si>
    <t>Egípcia</t>
  </si>
  <si>
    <t>58 - Egípcia</t>
  </si>
  <si>
    <t>Salvadorenha</t>
  </si>
  <si>
    <t>59 - Salvadorenha</t>
  </si>
  <si>
    <t>Emiradense</t>
  </si>
  <si>
    <t>60 - Emiradense</t>
  </si>
  <si>
    <t>Equatoriana</t>
  </si>
  <si>
    <t>61 - Equatoriana</t>
  </si>
  <si>
    <t>Eritreia</t>
  </si>
  <si>
    <t>62 - Eritreia</t>
  </si>
  <si>
    <t>Eslovaca</t>
  </si>
  <si>
    <t>63 - Eslovaca</t>
  </si>
  <si>
    <t>Eslovena</t>
  </si>
  <si>
    <t>64 - Eslovena</t>
  </si>
  <si>
    <t>Espanhola</t>
  </si>
  <si>
    <t>65 - Espanhola</t>
  </si>
  <si>
    <t>Americana</t>
  </si>
  <si>
    <t>66 - Americana</t>
  </si>
  <si>
    <t>Estoniana</t>
  </si>
  <si>
    <t>67 - Estoniana</t>
  </si>
  <si>
    <t>Etíope</t>
  </si>
  <si>
    <t>68 - Etíope</t>
  </si>
  <si>
    <t>Russa</t>
  </si>
  <si>
    <t>69 - Russa</t>
  </si>
  <si>
    <t>Fijiana</t>
  </si>
  <si>
    <t>70 - Fijiana</t>
  </si>
  <si>
    <t>Filipina</t>
  </si>
  <si>
    <t>71 - Filipina</t>
  </si>
  <si>
    <t>Finlandesa</t>
  </si>
  <si>
    <t>72 - Finlandesa</t>
  </si>
  <si>
    <t>Francesa</t>
  </si>
  <si>
    <t>73 - Francesa</t>
  </si>
  <si>
    <t>Gabonense</t>
  </si>
  <si>
    <t>74 - Gabonense</t>
  </si>
  <si>
    <t>Gambiana</t>
  </si>
  <si>
    <t>75 - Gambiana</t>
  </si>
  <si>
    <t>Ganesa</t>
  </si>
  <si>
    <t>76 - Ganesa</t>
  </si>
  <si>
    <t>Georgiana</t>
  </si>
  <si>
    <t>77 - Georgiana</t>
  </si>
  <si>
    <t>Gibaltarense</t>
  </si>
  <si>
    <t>78 - Gibaltarense</t>
  </si>
  <si>
    <t>Britânica</t>
  </si>
  <si>
    <t>79 - Britânica</t>
  </si>
  <si>
    <t>Granadina</t>
  </si>
  <si>
    <t>80 - Granadina</t>
  </si>
  <si>
    <t>Grega</t>
  </si>
  <si>
    <t>81 - Grega</t>
  </si>
  <si>
    <t>Groenlandesa</t>
  </si>
  <si>
    <t>82 - Groenlandesa</t>
  </si>
  <si>
    <t>Guadalupense</t>
  </si>
  <si>
    <t>83 - Guadalupense</t>
  </si>
  <si>
    <t>Guamense</t>
  </si>
  <si>
    <t>84 - Guamense</t>
  </si>
  <si>
    <t>Guatemalteca</t>
  </si>
  <si>
    <t>85 - Guatemalteca</t>
  </si>
  <si>
    <t>Guernesiana</t>
  </si>
  <si>
    <t>86 - Guernesiana</t>
  </si>
  <si>
    <t>Guianense</t>
  </si>
  <si>
    <t>87 - Guianense</t>
  </si>
  <si>
    <t>Guianense Francesa</t>
  </si>
  <si>
    <t>88 - Guianense Francesa</t>
  </si>
  <si>
    <t>Guineense</t>
  </si>
  <si>
    <t>89 - Guineense</t>
  </si>
  <si>
    <t>Guineense Equatorial</t>
  </si>
  <si>
    <t>90 - Guineense Equatorial</t>
  </si>
  <si>
    <t>Guineense-Bissau</t>
  </si>
  <si>
    <t>91 - Guineense-Bissau</t>
  </si>
  <si>
    <t>Haitiana</t>
  </si>
  <si>
    <t>92 - Haitiana</t>
  </si>
  <si>
    <t>Holandesa</t>
  </si>
  <si>
    <t>93 - Holandesa</t>
  </si>
  <si>
    <t>Hondurenha</t>
  </si>
  <si>
    <t>94 - Hondurenha</t>
  </si>
  <si>
    <t>Hongkonguesa</t>
  </si>
  <si>
    <t>95 - Hongkonguesa</t>
  </si>
  <si>
    <t>Húngara</t>
  </si>
  <si>
    <t>96 - Húngara</t>
  </si>
  <si>
    <t>Iemenita</t>
  </si>
  <si>
    <t>97 - Iemenita</t>
  </si>
  <si>
    <t>Bouvetiana</t>
  </si>
  <si>
    <t>98 - Bouvetiana</t>
  </si>
  <si>
    <t>Manesa</t>
  </si>
  <si>
    <t>99 - Manesa</t>
  </si>
  <si>
    <t>Natailense</t>
  </si>
  <si>
    <t>100 - Natailense</t>
  </si>
  <si>
    <t>Pitcairnense</t>
  </si>
  <si>
    <t>101 - Pitcairnense</t>
  </si>
  <si>
    <t>Reunionense</t>
  </si>
  <si>
    <t>102 - Reunionense</t>
  </si>
  <si>
    <t>Alandesa</t>
  </si>
  <si>
    <t>103 - Alandesa</t>
  </si>
  <si>
    <t>Caimana</t>
  </si>
  <si>
    <t>104 - Caimana</t>
  </si>
  <si>
    <t>Cocosiana</t>
  </si>
  <si>
    <t>105 - Cocosiana</t>
  </si>
  <si>
    <t>Comorense</t>
  </si>
  <si>
    <t>106 - Comorense</t>
  </si>
  <si>
    <t>Cookiana</t>
  </si>
  <si>
    <t>107 - Cookiana</t>
  </si>
  <si>
    <t>Falklandense</t>
  </si>
  <si>
    <t>108 - Falklandense</t>
  </si>
  <si>
    <t>Feroense</t>
  </si>
  <si>
    <t>109 - Feroense</t>
  </si>
  <si>
    <t>Georgiana-Sul</t>
  </si>
  <si>
    <t>110 - Georgiana-Sul</t>
  </si>
  <si>
    <t>Heardense</t>
  </si>
  <si>
    <t>111 - Heardense</t>
  </si>
  <si>
    <t>Marianaense</t>
  </si>
  <si>
    <t>112 - Marianaense</t>
  </si>
  <si>
    <t>Marshallense</t>
  </si>
  <si>
    <t>113 - Marshallense</t>
  </si>
  <si>
    <t>Menorense</t>
  </si>
  <si>
    <t>114 - Menorense</t>
  </si>
  <si>
    <t>Norfolkiana</t>
  </si>
  <si>
    <t>115 - Norfolkiana</t>
  </si>
  <si>
    <t>Seichelense</t>
  </si>
  <si>
    <t>116 - Seichelense</t>
  </si>
  <si>
    <t>Solomônica</t>
  </si>
  <si>
    <t>117 - Solomônica</t>
  </si>
  <si>
    <t>Svalbardense</t>
  </si>
  <si>
    <t>118 - Svalbardense</t>
  </si>
  <si>
    <t>Tokelauana</t>
  </si>
  <si>
    <t>119 - Tokelauana</t>
  </si>
  <si>
    <t>Turco-caicana</t>
  </si>
  <si>
    <t>120 - Turco-caicana</t>
  </si>
  <si>
    <t>Virginiana</t>
  </si>
  <si>
    <t>121 - Virginiana</t>
  </si>
  <si>
    <t>122 - Virginiana</t>
  </si>
  <si>
    <t>Wallisiana</t>
  </si>
  <si>
    <t>123 - Wallisiana</t>
  </si>
  <si>
    <t>Indiana</t>
  </si>
  <si>
    <t>124 - Indiana</t>
  </si>
  <si>
    <t>Iraniana</t>
  </si>
  <si>
    <t>126 - Iraniana</t>
  </si>
  <si>
    <t>Iraquiana</t>
  </si>
  <si>
    <t>127 - Iraquiana</t>
  </si>
  <si>
    <t>Irlandesa</t>
  </si>
  <si>
    <t>128 - Irlandesa</t>
  </si>
  <si>
    <t>Islandesa</t>
  </si>
  <si>
    <t>129 - Islandesa</t>
  </si>
  <si>
    <t>Israelense</t>
  </si>
  <si>
    <t>130 - Israelense</t>
  </si>
  <si>
    <t>Italiana</t>
  </si>
  <si>
    <t>131 - Italiana</t>
  </si>
  <si>
    <t>Jamaicana</t>
  </si>
  <si>
    <t>132 - Jamaicana</t>
  </si>
  <si>
    <t>Japonesa</t>
  </si>
  <si>
    <t>133 - Japonesa</t>
  </si>
  <si>
    <t>Jerseiana</t>
  </si>
  <si>
    <t>134 - Jerseiana</t>
  </si>
  <si>
    <t>Jordaniana</t>
  </si>
  <si>
    <t>135 - Jordaniana</t>
  </si>
  <si>
    <t>Queniana</t>
  </si>
  <si>
    <t>136 - Queniana</t>
  </si>
  <si>
    <t>Kiribatiana</t>
  </si>
  <si>
    <t>137 - Kiribatiana</t>
  </si>
  <si>
    <t>Kuwaitiana</t>
  </si>
  <si>
    <t>138 - Kuwaitiana</t>
  </si>
  <si>
    <t>Quirguiza</t>
  </si>
  <si>
    <t>139 - Quirguiza</t>
  </si>
  <si>
    <t>Laociana</t>
  </si>
  <si>
    <t>140 - Laociana</t>
  </si>
  <si>
    <t>Letã</t>
  </si>
  <si>
    <t>141 - Letã</t>
  </si>
  <si>
    <t>Lesotiana</t>
  </si>
  <si>
    <t>142 - Lesotiana</t>
  </si>
  <si>
    <t>Libanesa</t>
  </si>
  <si>
    <t>143 - Libanesa</t>
  </si>
  <si>
    <t>Liberiana</t>
  </si>
  <si>
    <t>144 - Liberiana</t>
  </si>
  <si>
    <t>Liechtensteinense</t>
  </si>
  <si>
    <t>146 - Liechtensteinense</t>
  </si>
  <si>
    <t>Lituana</t>
  </si>
  <si>
    <t>147 - Lituana</t>
  </si>
  <si>
    <t>Luxemburguesa</t>
  </si>
  <si>
    <t>148 - Luxemburguesa</t>
  </si>
  <si>
    <t>Macaense</t>
  </si>
  <si>
    <t>149 - Macaense</t>
  </si>
  <si>
    <t>Macedônia</t>
  </si>
  <si>
    <t>150 - Macedônia</t>
  </si>
  <si>
    <t>Malagasy</t>
  </si>
  <si>
    <t>151 - Malagasy</t>
  </si>
  <si>
    <t>Malaia</t>
  </si>
  <si>
    <t>152 - Malaia</t>
  </si>
  <si>
    <t>Malauiana</t>
  </si>
  <si>
    <t>153 - Malauiana</t>
  </si>
  <si>
    <t>Maldiva</t>
  </si>
  <si>
    <t>154 - Maldiva</t>
  </si>
  <si>
    <t>Maliana</t>
  </si>
  <si>
    <t>155 - Maliana</t>
  </si>
  <si>
    <t>Maltêsa</t>
  </si>
  <si>
    <t>156 - Maltêsa</t>
  </si>
  <si>
    <t>Marroquina</t>
  </si>
  <si>
    <t>157 - Marroquina</t>
  </si>
  <si>
    <t>Martinicana</t>
  </si>
  <si>
    <t>158 - Martinicana</t>
  </si>
  <si>
    <t>Mauriciana</t>
  </si>
  <si>
    <t>159 - Mauriciana</t>
  </si>
  <si>
    <t>Mauritana</t>
  </si>
  <si>
    <t>160 - Mauritana</t>
  </si>
  <si>
    <t>Mayottiana</t>
  </si>
  <si>
    <t>161 - Mayottiana</t>
  </si>
  <si>
    <t>Mexicana</t>
  </si>
  <si>
    <t>162 - Mexicana</t>
  </si>
  <si>
    <t>Moçambicana</t>
  </si>
  <si>
    <t>164 - Moçambicana</t>
  </si>
  <si>
    <t>Moldava</t>
  </si>
  <si>
    <t>165 - Moldava</t>
  </si>
  <si>
    <t>Monegasca</t>
  </si>
  <si>
    <t>166 - Monegasca</t>
  </si>
  <si>
    <t>Mongola</t>
  </si>
  <si>
    <t>167 - Mongola</t>
  </si>
  <si>
    <t>Montenegrina</t>
  </si>
  <si>
    <t>168 - Montenegrina</t>
  </si>
  <si>
    <t>Montserratense</t>
  </si>
  <si>
    <t>169 - Montserratense</t>
  </si>
  <si>
    <t>Birmanesa</t>
  </si>
  <si>
    <t>170 - Birmanesa</t>
  </si>
  <si>
    <t>Namibiana</t>
  </si>
  <si>
    <t>171 - Namibiana</t>
  </si>
  <si>
    <t>Nauruana</t>
  </si>
  <si>
    <t>172 - Nauruana</t>
  </si>
  <si>
    <t>Nepalesa</t>
  </si>
  <si>
    <t>173 - Nepalesa</t>
  </si>
  <si>
    <t>Nicaraguense</t>
  </si>
  <si>
    <t>174 - Nicaraguense</t>
  </si>
  <si>
    <t>Nigerina</t>
  </si>
  <si>
    <t>175 - Nigerina</t>
  </si>
  <si>
    <t>Nigeriana</t>
  </si>
  <si>
    <t>176 - Nigeriana</t>
  </si>
  <si>
    <t>Niueana</t>
  </si>
  <si>
    <t>177 - Niueana</t>
  </si>
  <si>
    <t>Norueguesa</t>
  </si>
  <si>
    <t>178 - Norueguesa</t>
  </si>
  <si>
    <t>Nova Caledoniana</t>
  </si>
  <si>
    <t>179 - Nova Caledoniana</t>
  </si>
  <si>
    <t>Neozelandesa</t>
  </si>
  <si>
    <t>180 - Neozelandesa</t>
  </si>
  <si>
    <t>Omanita</t>
  </si>
  <si>
    <t>181 - Omanita</t>
  </si>
  <si>
    <t>Palauana</t>
  </si>
  <si>
    <t>182 - Palauana</t>
  </si>
  <si>
    <t>Panamenha</t>
  </si>
  <si>
    <t>183 - Panamenha</t>
  </si>
  <si>
    <t>Papuana</t>
  </si>
  <si>
    <t>184 - Papuana</t>
  </si>
  <si>
    <t>Paquistanesa</t>
  </si>
  <si>
    <t>185 - Paquistanesa</t>
  </si>
  <si>
    <t>Paraguaia</t>
  </si>
  <si>
    <t>186 - Paraguaia</t>
  </si>
  <si>
    <t>Peruana</t>
  </si>
  <si>
    <t>187 - Peruana</t>
  </si>
  <si>
    <t>Polaca</t>
  </si>
  <si>
    <t>189 - Polaca</t>
  </si>
  <si>
    <t>Portuguesa</t>
  </si>
  <si>
    <t>190 - Portuguesa</t>
  </si>
  <si>
    <t>Qatariana</t>
  </si>
  <si>
    <t>191 - Qatariana</t>
  </si>
  <si>
    <t>Centro-africana</t>
  </si>
  <si>
    <t>192 - Centro-africana</t>
  </si>
  <si>
    <t>Congolesa Democrática</t>
  </si>
  <si>
    <t>193 - Congolesa Democrática</t>
  </si>
  <si>
    <t>194 - Dominicana</t>
  </si>
  <si>
    <t>Tcheca</t>
  </si>
  <si>
    <t>195 - Tcheca</t>
  </si>
  <si>
    <t>Romena</t>
  </si>
  <si>
    <t>196 - Romena</t>
  </si>
  <si>
    <t>197 - Romena</t>
  </si>
  <si>
    <t>Ruandesa</t>
  </si>
  <si>
    <t>198 - Ruandesa</t>
  </si>
  <si>
    <t>Saaraocidentalense</t>
  </si>
  <si>
    <t>199 - Saaraocidentalense</t>
  </si>
  <si>
    <t>200 - Granadina</t>
  </si>
  <si>
    <t>Samoana</t>
  </si>
  <si>
    <t>201 - Samoana</t>
  </si>
  <si>
    <t>202 - Samoana</t>
  </si>
  <si>
    <t>Sanmarinense</t>
  </si>
  <si>
    <t>203 - Sanmarinense</t>
  </si>
  <si>
    <t>Saint-helênense</t>
  </si>
  <si>
    <t>204 - Saint-helênense</t>
  </si>
  <si>
    <t>Santa-lucense</t>
  </si>
  <si>
    <t>205 - Santa-lucense</t>
  </si>
  <si>
    <t>São-bartolomeuense</t>
  </si>
  <si>
    <t>206 - São-bartolomeuense</t>
  </si>
  <si>
    <t>São-cristovense</t>
  </si>
  <si>
    <t>207 - São-cristovense</t>
  </si>
  <si>
    <t>São-martinense</t>
  </si>
  <si>
    <t>208 - São-martinense</t>
  </si>
  <si>
    <t>São-tomense</t>
  </si>
  <si>
    <t>209 - São-tomense</t>
  </si>
  <si>
    <t>Senegalesa</t>
  </si>
  <si>
    <t>210 - Senegalesa</t>
  </si>
  <si>
    <t>Sierra-leonesa</t>
  </si>
  <si>
    <t>211 - Sierra-leonesa</t>
  </si>
  <si>
    <t>Cingalesa</t>
  </si>
  <si>
    <t>215 - Cingalesa</t>
  </si>
  <si>
    <t>Saint-pierrais</t>
  </si>
  <si>
    <t>216 - Saint-pierrais</t>
  </si>
  <si>
    <t>Suazilandesa</t>
  </si>
  <si>
    <t>217 - Suazilandesa</t>
  </si>
  <si>
    <t>Sudanesa</t>
  </si>
  <si>
    <t>218 - Sudanesa</t>
  </si>
  <si>
    <t>Sueca</t>
  </si>
  <si>
    <t>219 - Sueca</t>
  </si>
  <si>
    <t>Surinamesa</t>
  </si>
  <si>
    <t>221 - Surinamesa</t>
  </si>
  <si>
    <t>Tadjique</t>
  </si>
  <si>
    <t>222 - Tadjique</t>
  </si>
  <si>
    <t>Tailandesa</t>
  </si>
  <si>
    <t>223 - Tailandesa</t>
  </si>
  <si>
    <t>Taiwanesa</t>
  </si>
  <si>
    <t>224 - Taiwanesa</t>
  </si>
  <si>
    <t>Tanzaniana</t>
  </si>
  <si>
    <t>225 - Tanzaniana</t>
  </si>
  <si>
    <t>226 - Britânica</t>
  </si>
  <si>
    <t>227 - Francesa</t>
  </si>
  <si>
    <t>Palestina</t>
  </si>
  <si>
    <t>228 - Palestina</t>
  </si>
  <si>
    <t>Timorense</t>
  </si>
  <si>
    <t>229 - Timorense</t>
  </si>
  <si>
    <t>Togolesa</t>
  </si>
  <si>
    <t>230 - Togolesa</t>
  </si>
  <si>
    <t>Tongana</t>
  </si>
  <si>
    <t>231 - Tongana</t>
  </si>
  <si>
    <t>Trinidadense</t>
  </si>
  <si>
    <t>232 - Trinidadense</t>
  </si>
  <si>
    <t>Tunisiana</t>
  </si>
  <si>
    <t>233 - Tunisiana</t>
  </si>
  <si>
    <t>Turcomena</t>
  </si>
  <si>
    <t>234 - Turcomena</t>
  </si>
  <si>
    <t>Turca</t>
  </si>
  <si>
    <t>235 - Turca</t>
  </si>
  <si>
    <t>Tuvaluana</t>
  </si>
  <si>
    <t>236 - Tuvaluana</t>
  </si>
  <si>
    <t>Ucraniana</t>
  </si>
  <si>
    <t>237 - Ucraniana</t>
  </si>
  <si>
    <t>Ugandense</t>
  </si>
  <si>
    <t>238 - Ugandense</t>
  </si>
  <si>
    <t>Uruguaia</t>
  </si>
  <si>
    <t>239 - Uruguaia</t>
  </si>
  <si>
    <t>Uzbeque</t>
  </si>
  <si>
    <t>240 - Uzbeque</t>
  </si>
  <si>
    <t>Vanuatuana</t>
  </si>
  <si>
    <t>241 - Vanuatuana</t>
  </si>
  <si>
    <t>Vaticana</t>
  </si>
  <si>
    <t>242 - Vaticana</t>
  </si>
  <si>
    <t>Venezuelana</t>
  </si>
  <si>
    <t>243 - Venezuelana</t>
  </si>
  <si>
    <t>Vietnamita</t>
  </si>
  <si>
    <t>244 - Vietnamita</t>
  </si>
  <si>
    <t>Zambiana</t>
  </si>
  <si>
    <t>245 - Zambiana</t>
  </si>
  <si>
    <t>Zimbabuana</t>
  </si>
  <si>
    <t>246 - Zimbabuana</t>
  </si>
  <si>
    <t>Contexto</t>
  </si>
  <si>
    <t xml:space="preserve">Identificação </t>
  </si>
  <si>
    <t>Caracterização</t>
  </si>
  <si>
    <t xml:space="preserve">Enquadramento </t>
  </si>
  <si>
    <t>Atividade</t>
  </si>
  <si>
    <t>Código Operação</t>
  </si>
  <si>
    <t>Nº Atividade</t>
  </si>
  <si>
    <t>Desginação Atividade</t>
  </si>
  <si>
    <t>Nº Área de Formação</t>
  </si>
  <si>
    <t>Designação Área de Formação</t>
  </si>
  <si>
    <t>Nº Curso</t>
  </si>
  <si>
    <t>Designação Curso</t>
  </si>
  <si>
    <t>Nº Ação</t>
  </si>
  <si>
    <t>Designação Ação</t>
  </si>
  <si>
    <t>NIF</t>
  </si>
  <si>
    <t xml:space="preserve">NISS </t>
  </si>
  <si>
    <t>N.º Pedido de Proteção Internacional / N.º Autorização de Residência / N.º Passaporte</t>
  </si>
  <si>
    <t>Tipo de Autorização de Residência</t>
  </si>
  <si>
    <t xml:space="preserve">Data de Nascimento </t>
  </si>
  <si>
    <t xml:space="preserve">Nome </t>
  </si>
  <si>
    <t xml:space="preserve">Género </t>
  </si>
  <si>
    <t xml:space="preserve">Nacionalidade </t>
  </si>
  <si>
    <t>Código postal</t>
  </si>
  <si>
    <t>Contatos - Telefone</t>
  </si>
  <si>
    <t xml:space="preserve">Contatos - E-mail </t>
  </si>
  <si>
    <t xml:space="preserve">Data de Inicio da participação </t>
  </si>
  <si>
    <t>Data de fim da participação</t>
  </si>
  <si>
    <t xml:space="preserve">Situação </t>
  </si>
  <si>
    <t>Situação Face ao Emprego à entrada</t>
  </si>
  <si>
    <t>Situação Face ao Emprego à saída</t>
  </si>
  <si>
    <t>Vínculo Contratual</t>
  </si>
  <si>
    <t>Classificação Portuguesa das Profissões (CPP)</t>
  </si>
  <si>
    <t>Habilitações Literárias à entrada</t>
  </si>
  <si>
    <t>Habilitações Literárias à saída</t>
  </si>
  <si>
    <t>Nivel QNQ à entrada</t>
  </si>
  <si>
    <t>Nivel QNQ à saída</t>
  </si>
  <si>
    <t>Procura emprego após terminada a participação</t>
  </si>
  <si>
    <t>Data de inicio do apoio</t>
  </si>
  <si>
    <t>Data de fim do apoio</t>
  </si>
  <si>
    <t>Tipo Enquadramento</t>
  </si>
  <si>
    <t xml:space="preserve">Data de início </t>
  </si>
  <si>
    <t xml:space="preserve">Data de fim </t>
  </si>
  <si>
    <t>Duração (meses)</t>
  </si>
  <si>
    <t xml:space="preserve">Ano </t>
  </si>
  <si>
    <t xml:space="preserve">Tipo  Entidade Enquadradora </t>
  </si>
  <si>
    <t xml:space="preserve">NIF  Entidade Enquadradora </t>
  </si>
  <si>
    <t xml:space="preserve">Designação Entidade Enquadradora </t>
  </si>
  <si>
    <t>Codigo UO</t>
  </si>
  <si>
    <t>Codigo IES</t>
  </si>
  <si>
    <t xml:space="preserve">País Entidade Enquadradora </t>
  </si>
  <si>
    <t xml:space="preserve">Área de Estudo CNAEF </t>
  </si>
  <si>
    <t xml:space="preserve">Área Científica (Frascati) </t>
  </si>
  <si>
    <t>Código Postal do local de realização da atividade</t>
  </si>
  <si>
    <t xml:space="preserve">País de realização da Atividade </t>
  </si>
  <si>
    <t>Horas  Sala</t>
  </si>
  <si>
    <t>Horas  PCT</t>
  </si>
  <si>
    <t>Horas  PS</t>
  </si>
  <si>
    <t>Horas  Consultoria</t>
  </si>
  <si>
    <t>Horas  Mediação</t>
  </si>
  <si>
    <t>Horas E-Learning</t>
  </si>
  <si>
    <t>Horas B-Learning</t>
  </si>
  <si>
    <t>Horas presencial</t>
  </si>
  <si>
    <t>Horas online (presencial)</t>
  </si>
  <si>
    <t>Horas  Síncronas</t>
  </si>
  <si>
    <t>Horas  Assíncronas</t>
  </si>
  <si>
    <t>Horas  (Hor Laboral)</t>
  </si>
  <si>
    <t>Horas  (Hor Pós-Laboral)</t>
  </si>
  <si>
    <t>Dias  Sala</t>
  </si>
  <si>
    <t>Dias  PCT</t>
  </si>
  <si>
    <t>Dias PS</t>
  </si>
  <si>
    <t>Dias Consultoria</t>
  </si>
  <si>
    <t>Dias Mediação</t>
  </si>
  <si>
    <t>Dias E-Learning</t>
  </si>
  <si>
    <t>Dias B-Learning</t>
  </si>
  <si>
    <t xml:space="preserve">Dias  Presencial </t>
  </si>
  <si>
    <t xml:space="preserve">Dias  Online (Presencial) </t>
  </si>
  <si>
    <t xml:space="preserve">Dias Síncrona </t>
  </si>
  <si>
    <t xml:space="preserve">Dias  Assíncrona </t>
  </si>
  <si>
    <t xml:space="preserve">Dias  (Hor Laboral) </t>
  </si>
  <si>
    <t xml:space="preserve">Dias  (Hor Pós-Laboral) </t>
  </si>
  <si>
    <t>Data de Inscrição</t>
  </si>
  <si>
    <t>Data de Encaminhamento</t>
  </si>
  <si>
    <t>Modalidade de Encaminhamento</t>
  </si>
  <si>
    <t>Data de Entrada em Processo de RVCC</t>
  </si>
  <si>
    <t>Data de Certificação Parcial Escolar</t>
  </si>
  <si>
    <t>Data de Certificação Total Escolar</t>
  </si>
  <si>
    <t>Data de Certificação Parcial Profissional</t>
  </si>
  <si>
    <t>Data de Certificação Total Profissional</t>
  </si>
  <si>
    <t>Deve estar compreendida entre a data de início e de fim da operação
A data de inicio da participação tem de ser maior ou igual à data de inicio da ação/atividade</t>
  </si>
  <si>
    <t>Deve estar compreendida entre a data de início e de fim da operação
A data de fim da participação tem de ser menor ou igual à data de inicio do ação/atividade</t>
  </si>
  <si>
    <t>Seleccão de 1 opção da lista de valores. Não pode ser submetido o saldo final sem o campo preenchido. E a situação face ao emprego tem que ser recolhida à data de inicio e à  data de fim da participação.</t>
  </si>
  <si>
    <r>
      <t>A data de inicio do apoio tem de ser menor que a Data de fim do apoio.</t>
    </r>
    <r>
      <rPr>
        <sz val="8"/>
        <color theme="5"/>
        <rFont val="Aptos Narrow"/>
        <family val="2"/>
        <scheme val="minor"/>
      </rPr>
      <t xml:space="preserve"> </t>
    </r>
  </si>
  <si>
    <t xml:space="preserve">A data de fim do apoio tem de ser maior que a Data de inicio do apoio. </t>
  </si>
  <si>
    <t>TD Área Formação CNAEF</t>
  </si>
  <si>
    <t>TD Género</t>
  </si>
  <si>
    <t>TD Situação</t>
  </si>
  <si>
    <t>TD Situação Face ao Emprego</t>
  </si>
  <si>
    <t xml:space="preserve">TD Tipo Vinculo </t>
  </si>
  <si>
    <t>TD Habilitações Literárias</t>
  </si>
  <si>
    <t>TD Nivel QNQ</t>
  </si>
  <si>
    <t>TDProcura emprego após terminada participacão</t>
  </si>
  <si>
    <t xml:space="preserve">TD Estuda ou frequenta ação de formação no momento entrada </t>
  </si>
  <si>
    <t>TD Estuda ou frequenta ação de formação terminada a participação</t>
  </si>
  <si>
    <t>TD Tipo de Enquadramento (nível 1) Bolsa e medida ativa</t>
  </si>
  <si>
    <t>TD enquadramento -  2 nível</t>
  </si>
  <si>
    <t>TD Tipo Entiddae Enquadradora</t>
  </si>
  <si>
    <t xml:space="preserve">TD PAIS </t>
  </si>
  <si>
    <t>TD Área Científica</t>
  </si>
  <si>
    <t>TD Modalidade de Encaminhamneto</t>
  </si>
  <si>
    <t>Código</t>
  </si>
  <si>
    <t>CPP</t>
  </si>
  <si>
    <t xml:space="preserve">3115-Técnicos e inspectores de mecânica </t>
  </si>
  <si>
    <t xml:space="preserve">3115.1-Técnico de inspecção de veículos </t>
  </si>
  <si>
    <t xml:space="preserve">3115.2-Outros técnicos e inspectores de mecânica </t>
  </si>
  <si>
    <t>3116-Técnico de química industrial</t>
  </si>
  <si>
    <t>3116.0-Técnico de química industrial</t>
  </si>
  <si>
    <t xml:space="preserve">3117-Técnico da metalurgia de base e da indústria extractiva </t>
  </si>
  <si>
    <t xml:space="preserve">3117.0-Técnico da metalurgia de base e da indústria extractiva </t>
  </si>
  <si>
    <t>3118-Desenhadores e técnicos afins</t>
  </si>
  <si>
    <t>3118.0-Desenhadores e técnicos afins</t>
  </si>
  <si>
    <t xml:space="preserve">3119-Outros técnicos das ciências físicas e de engenharia </t>
  </si>
  <si>
    <t>3119.1-Técnico de gás</t>
  </si>
  <si>
    <t>3119.2-Outros técnicos das ciências físicas e de engenharia, n.e.</t>
  </si>
  <si>
    <t>312-Encarregados das indústrias extractiva, transformadora e construção</t>
  </si>
  <si>
    <t>3121-Encarregado da indústria extractiva</t>
  </si>
  <si>
    <t>3121.0-Encarregado da indústria extractiva</t>
  </si>
  <si>
    <t>3122-Encarregado da indústria transformadora</t>
  </si>
  <si>
    <t>3122.1-Encarregados das indústrias alimentares e das bebidas</t>
  </si>
  <si>
    <t>3122.2-Encarregados das indústrias têxteis, do vestuário, calçado e curtumes</t>
  </si>
  <si>
    <t>3122.3-Encarregados das indústrias da madeira e cortiça</t>
  </si>
  <si>
    <t>3122.4-Encarregados das indústrias da pasta, papel, impressão e similares</t>
  </si>
  <si>
    <t>3122.5-Encarregados das indústrias da refinação do petróleo, químicas, produtos farmacêuticos e transformação de matérias plásticas e borracha</t>
  </si>
  <si>
    <t>3122.6-Encarregados das indústrias da transformação de minerais não metálicos</t>
  </si>
  <si>
    <t>3122.7-Encarregados das indústrias metalúrgicas de base e fabrico de produtos metálicos</t>
  </si>
  <si>
    <t>3122.8-Outros encarregados da indústria transformadora</t>
  </si>
  <si>
    <t xml:space="preserve">3123-Encarregado da construção </t>
  </si>
  <si>
    <t xml:space="preserve">3123.0-Encarregado da construção </t>
  </si>
  <si>
    <t xml:space="preserve">313-Técnicos de operação e controlo de processos industriais </t>
  </si>
  <si>
    <t xml:space="preserve">3131-Técnico de operação de instalações de produção de energia </t>
  </si>
  <si>
    <t xml:space="preserve">3131.0-Técnico de operação de instalações de produção de energia </t>
  </si>
  <si>
    <t xml:space="preserve">3132-Técnicos de operação de incineradores e de instalações de tratamento de água </t>
  </si>
  <si>
    <t xml:space="preserve">3132.1-Técnico de operação de incineradores </t>
  </si>
  <si>
    <t xml:space="preserve">3132.2-Técnico de operação de instalações de tratamento de água </t>
  </si>
  <si>
    <t>3133-Técnico de controlo de instalações da indústria química</t>
  </si>
  <si>
    <t>3133.0-Técnico de controlo de instalações da indústria química</t>
  </si>
  <si>
    <t xml:space="preserve">3134-Técnico de operação de instalações de refinação de petróleo e gás natural </t>
  </si>
  <si>
    <t xml:space="preserve">3134.0-Técnico de operação de instalações de refinação de petróleo e gás natural </t>
  </si>
  <si>
    <t xml:space="preserve">3135-Técnico de controlo de instalações de produção de metais </t>
  </si>
  <si>
    <t xml:space="preserve">3135.0-Técnico de controlo de instalações de produção de metais </t>
  </si>
  <si>
    <t>3139-Outros técnicos de controlo de processos industriais</t>
  </si>
  <si>
    <t>3139.0-Outros técnicos de controlo de processos industriais</t>
  </si>
  <si>
    <t xml:space="preserve">314-Técnicos e profissões afins das ciências da vida, de nível intermédio </t>
  </si>
  <si>
    <t>3141-Técnico das ciências da vida (excepto ciências médicas)</t>
  </si>
  <si>
    <t>3141.0-Técnico das ciências da vida (excepto ciências médicas)</t>
  </si>
  <si>
    <t>3142-Técnicos da agricultura e da produção animal</t>
  </si>
  <si>
    <t>3142.1-Técnico agrícola</t>
  </si>
  <si>
    <t>3142.2-Técnico da produção animal</t>
  </si>
  <si>
    <t>3143-Técnico florestal (inclui cinegético)</t>
  </si>
  <si>
    <t>3143.0-Técnico florestal (inclui cinegético)</t>
  </si>
  <si>
    <t>315-Técnicos operacionais e controladores, dos transportes marítimo e aéreo</t>
  </si>
  <si>
    <t>3151-Oficial maquinista de navios</t>
  </si>
  <si>
    <t>3151.0-Oficial maquinista de navios</t>
  </si>
  <si>
    <t>3152-Oficial de convés e piloto de navios</t>
  </si>
  <si>
    <t>3152.0-Oficial de convés e piloto de navios</t>
  </si>
  <si>
    <t>3153-Piloto de aeronaves</t>
  </si>
  <si>
    <t>3153.0-Piloto de aeronaves</t>
  </si>
  <si>
    <t>3154-Controlador de tráfego aéreo</t>
  </si>
  <si>
    <t>3154.0-Controlador de tráfego aéreo</t>
  </si>
  <si>
    <t xml:space="preserve">3155-Técnico de segurança de sistemas electrónicos aeronáuticos </t>
  </si>
  <si>
    <t xml:space="preserve">3155.0-Técnico de segurança de sistemas electrónicos aeronáuticos </t>
  </si>
  <si>
    <t>32-Técnicos e profissionais, de nível intermédio da saúde</t>
  </si>
  <si>
    <t>321-Técnicos da medicina e farmácia</t>
  </si>
  <si>
    <t>3211-Técnico de equipamento de diagnóstico e terapêutico</t>
  </si>
  <si>
    <t>3211.1-Técnico de cardiopneumografia</t>
  </si>
  <si>
    <t>3211.2-Técnico de radiologia</t>
  </si>
  <si>
    <t>3211.3-Técnico de medicina nuclear</t>
  </si>
  <si>
    <t>3211.4-Técnico de radioterapia</t>
  </si>
  <si>
    <t>3211.5-Outros técnicos de equipamento de diagnóstico e terapêutico</t>
  </si>
  <si>
    <t>3212-Técnicos de laboratório de anatomia patológica e medicina</t>
  </si>
  <si>
    <t xml:space="preserve">3212.1-Técnico de análises clínicas </t>
  </si>
  <si>
    <t>3212.2-Técnico de anatomia patológica, citológica e tanatológica</t>
  </si>
  <si>
    <t xml:space="preserve">3213-Técnicos e assistentes farmacêuticos </t>
  </si>
  <si>
    <t xml:space="preserve">3213.0-Técnicos e assistentes farmacêuticos </t>
  </si>
  <si>
    <t>3214-Técnico de próteses médicas e dentárias</t>
  </si>
  <si>
    <t>3214.0-Técnico de próteses médicas e dentárias</t>
  </si>
  <si>
    <t>322-Auxiliares de enfermagem e parteiras</t>
  </si>
  <si>
    <t xml:space="preserve">3221-Auxiliar de enfermagem </t>
  </si>
  <si>
    <t xml:space="preserve">3221.0-Auxiliar de enfermagem </t>
  </si>
  <si>
    <t>3222-Parteira</t>
  </si>
  <si>
    <t>3222.0-Parteira</t>
  </si>
  <si>
    <t>323-Profissionais de nível intermédio da medicina tradicional e complementar</t>
  </si>
  <si>
    <t>3230-Profissionais de nível intermédio da medicina tradicional e complementar</t>
  </si>
  <si>
    <t>3230.0-Profissionais de nível intermédio da medicina tradicional e complementar</t>
  </si>
  <si>
    <t>324-Técnico e assistente de veterinários</t>
  </si>
  <si>
    <t>3240-Técnico e assistente de veterinários</t>
  </si>
  <si>
    <t>3240.0-Técnico e assistente de veterinários</t>
  </si>
  <si>
    <t>325-Outros profissionais de nível intermédio da saúde</t>
  </si>
  <si>
    <t xml:space="preserve">3251-Terapeuta e assistente dentário </t>
  </si>
  <si>
    <t xml:space="preserve">3251.0-Terapeuta e assistente dentário </t>
  </si>
  <si>
    <t>3252-Técnico de registos médicos e de informação sobre saúde</t>
  </si>
  <si>
    <t>3252.0-Técnico de registos médicos e de informação sobre saúde</t>
  </si>
  <si>
    <t>3253-Técnico dos serviços de saúde comunitária</t>
  </si>
  <si>
    <t>3253.0-Técnico dos serviços de saúde comunitária</t>
  </si>
  <si>
    <t>3254-Técnicos de óptica ocular e de contactologia</t>
  </si>
  <si>
    <t>3254.1-Técnico de óptica ocular</t>
  </si>
  <si>
    <t>3254.2-Técnico de contactologia</t>
  </si>
  <si>
    <t>3255-Técnico e assistente, de fisioterapia e similares</t>
  </si>
  <si>
    <t>3255.0-Técnico e assistente, de fisioterapia e similares</t>
  </si>
  <si>
    <t xml:space="preserve">3256-Assistente de médicos </t>
  </si>
  <si>
    <t xml:space="preserve">3256.0-Assistente de médicos </t>
  </si>
  <si>
    <t>3257-Inspectores e técnicos, da saúde, do trabalho e ambiente</t>
  </si>
  <si>
    <t>3257.0-Inspectores e técnicos, da saúde, do trabalho e ambiente</t>
  </si>
  <si>
    <t>3258-Pessoal de ambulâncias</t>
  </si>
  <si>
    <t>3258.0-Pessoal de ambulâncias</t>
  </si>
  <si>
    <t>3259-Outros profissionais de nível intermédio da saúde, n.e.</t>
  </si>
  <si>
    <t>3259.0-Outros profissionais de nível intermédio da saúde, n.e.</t>
  </si>
  <si>
    <t>33-Técnicos de nível intermédio, das áreas financeira, administrativa e dos negócios</t>
  </si>
  <si>
    <t>331-Técnicos de nível intermédio da área financeira e matemática</t>
  </si>
  <si>
    <t>3311-Corretor de bolsa, cambista e similares</t>
  </si>
  <si>
    <t>3311.0-Corretor de bolsa, cambista e similares</t>
  </si>
  <si>
    <t xml:space="preserve">3312-Agentes de crédito e empréstimos </t>
  </si>
  <si>
    <t xml:space="preserve">3312.0-Agentes de crédito e empréstimos </t>
  </si>
  <si>
    <t>3313-Técnicos administrativos de contabilidade</t>
  </si>
  <si>
    <t>3313.1-Tesoureiro</t>
  </si>
  <si>
    <t xml:space="preserve">3313.2-Outros técnicos administrativos de contabilidade </t>
  </si>
  <si>
    <t>3314-Técnicos de nível intermédio, de estatística, matemática e similares</t>
  </si>
  <si>
    <t>3314.0-Técnicos de nível intermédio, de estatística, matemática e similares</t>
  </si>
  <si>
    <t xml:space="preserve">3315-Avaliador de imóveis, seguros e outros bens  </t>
  </si>
  <si>
    <t xml:space="preserve">3315.0-Avaliador de imóveis, seguros e outros bens  </t>
  </si>
  <si>
    <t>332-Agentes de compras, de vendas e corretores comerciais</t>
  </si>
  <si>
    <t xml:space="preserve">3321-Agente de seguros </t>
  </si>
  <si>
    <t xml:space="preserve">3321.0-Agente de seguros </t>
  </si>
  <si>
    <t xml:space="preserve">3322-Representante comercial </t>
  </si>
  <si>
    <t xml:space="preserve">3322.0-Representante comercial </t>
  </si>
  <si>
    <t>3323-Técnico de compras</t>
  </si>
  <si>
    <t>3323.0-Técnico de compras</t>
  </si>
  <si>
    <t xml:space="preserve">3324-Corretor comercial </t>
  </si>
  <si>
    <t xml:space="preserve">3324.0-Corretor comercial </t>
  </si>
  <si>
    <t>333-Agentes de negócios</t>
  </si>
  <si>
    <t>3331-Despachante, transitário e similares</t>
  </si>
  <si>
    <t>3331.0-Despachante, transitário e similares</t>
  </si>
  <si>
    <t>3332-Organizador de conferências e eventos</t>
  </si>
  <si>
    <t>3332.0-Organizador de conferências e eventos</t>
  </si>
  <si>
    <t xml:space="preserve">3333-Técnico da área do emprego </t>
  </si>
  <si>
    <t xml:space="preserve">3333.0-Técnico da área do emprego </t>
  </si>
  <si>
    <t xml:space="preserve">3334-Agente imobiliário e gestor de propriedades </t>
  </si>
  <si>
    <t xml:space="preserve">3334.0-Agente imobiliário e gestor de propriedades </t>
  </si>
  <si>
    <t xml:space="preserve">3339-Outros agentes de negócios </t>
  </si>
  <si>
    <t xml:space="preserve">3339.0-Outros agentes de negócios </t>
  </si>
  <si>
    <t xml:space="preserve">334-Administrativos e secretários especializados </t>
  </si>
  <si>
    <t xml:space="preserve">3341-Supervisor de pessoal administrativo </t>
  </si>
  <si>
    <t xml:space="preserve">3341.1-Chefe de escritório </t>
  </si>
  <si>
    <t xml:space="preserve">3341.2-Encarregado de armazém </t>
  </si>
  <si>
    <t xml:space="preserve">3341.3-Chefe de estação de correios </t>
  </si>
  <si>
    <t xml:space="preserve">3341.4-Fiscal e encarregado de portagem </t>
  </si>
  <si>
    <t>3341.5-Supervisor de cargas e descargas</t>
  </si>
  <si>
    <t xml:space="preserve">3341.6-Outros supervisores de pessoal administrativo </t>
  </si>
  <si>
    <t>3342-Secretário da área jurídica</t>
  </si>
  <si>
    <t>3342.0-Secretário da área jurídica</t>
  </si>
  <si>
    <t>3343-Secretário administrativo e executivo</t>
  </si>
  <si>
    <t>3343.0-Secretário administrativo e executivo</t>
  </si>
  <si>
    <t xml:space="preserve">3344-Secretário da área da medicina </t>
  </si>
  <si>
    <t xml:space="preserve">3344.0-Secretário da área da medicina </t>
  </si>
  <si>
    <t>335-Agentes de nível intermédio da Administração Pública, para aplicação da lei e similares</t>
  </si>
  <si>
    <t>3351-Inspector de alfândega e de fronteira</t>
  </si>
  <si>
    <t>3351.0-Inspector de alfândega e de fronteira</t>
  </si>
  <si>
    <t xml:space="preserve">3352-Agente da administração tributária </t>
  </si>
  <si>
    <t xml:space="preserve">3352.0-Agente da administração tributária </t>
  </si>
  <si>
    <t xml:space="preserve">3353-Agente de serviços da segurança social </t>
  </si>
  <si>
    <t xml:space="preserve">3353.0-Agente de serviços da segurança social </t>
  </si>
  <si>
    <t xml:space="preserve">3354-Agente de serviços de licenciamento </t>
  </si>
  <si>
    <t xml:space="preserve">3354.0-Agente de serviços de licenciamento </t>
  </si>
  <si>
    <t>3355-Inspector e detective da polícia</t>
  </si>
  <si>
    <t>3355.0-Inspector e detective da polícia</t>
  </si>
  <si>
    <t>3359-Outros agentes de nível intermédio da Administração Pública, para aplicação da lei e similares</t>
  </si>
  <si>
    <t>3359.0-Outros agentes de nível intermédio da Administração Pública, para aplicação da lei e similares</t>
  </si>
  <si>
    <t>34-Técnicos de nível intermédio dos serviços jurídicos, sociais, desportivos, culturais e similares</t>
  </si>
  <si>
    <t>341-Técnicos de nível intermédio dos serviços jurídicos, sociais e religiosos</t>
  </si>
  <si>
    <t xml:space="preserve">3411-Técnico de nível intermédio dos serviços jurídicos e relacionados </t>
  </si>
  <si>
    <t xml:space="preserve">3411.0-Técnico de nível intermédio dos serviços jurídicos e relacionados </t>
  </si>
  <si>
    <t>3412-Técnico de nível intermédio de apoio social</t>
  </si>
  <si>
    <t>3412.0-Técnico de nível intermédio de apoio social</t>
  </si>
  <si>
    <t>3413-Membro de ordem religiosa e técnicos de apoio religioso</t>
  </si>
  <si>
    <t>3413.0-Membro de ordem religiosa e técnicos de apoio religioso</t>
  </si>
  <si>
    <t xml:space="preserve">342-Técnicos de actividade física e de desporto </t>
  </si>
  <si>
    <t xml:space="preserve">3421-Atletas e desportistas de competição </t>
  </si>
  <si>
    <t xml:space="preserve">3421.1-Jogador profissional de futebol </t>
  </si>
  <si>
    <t>3421.2-Ciclista profissional</t>
  </si>
  <si>
    <t xml:space="preserve">3421.3-Outros atletas e desportistas de competição </t>
  </si>
  <si>
    <t>3422-Treinadores, instrutores e árbitros, de desportos</t>
  </si>
  <si>
    <t>3422.1-Treinador de desportos</t>
  </si>
  <si>
    <t>3422.2-Árbitro (juiz) de desportos</t>
  </si>
  <si>
    <t xml:space="preserve">3422.3-Instrutor de desportos </t>
  </si>
  <si>
    <t xml:space="preserve">3423-Instrutores e monitores de actividade física e recreação </t>
  </si>
  <si>
    <t xml:space="preserve">3423.0-Instrutores e monitores de actividade física e recreação </t>
  </si>
  <si>
    <t>343-Técnicos de nível intermédio das actividades culturais, artísticas e culinárias</t>
  </si>
  <si>
    <t>3431-Fotógrafo</t>
  </si>
  <si>
    <t>3431.0-Fotógrafo</t>
  </si>
  <si>
    <t>3432-Decorador</t>
  </si>
  <si>
    <t>3432.0-Decorador</t>
  </si>
  <si>
    <t>3433-Técnicos de galerias, bibliotecas, arquivos e museus</t>
  </si>
  <si>
    <t>3433.0-Técnicos de galerias, bibliotecas, arquivos e museus</t>
  </si>
  <si>
    <t>3434-Chefe de cozinha</t>
  </si>
  <si>
    <t>3434.0-Chefe de cozinha</t>
  </si>
  <si>
    <t>3435-Outros técnicos de nível intermédio das actividades culturais e artísticas</t>
  </si>
  <si>
    <t>3435.1-Toureiro, cavaleiro tauromáquico e outros profissionais similares</t>
  </si>
  <si>
    <t>3435.2-Outros técnicos de nível intermédio das actividades culturais e artísticas, n.e.</t>
  </si>
  <si>
    <t xml:space="preserve">35-Técnicos das tecnologias de informação e comunicação </t>
  </si>
  <si>
    <t xml:space="preserve">351-Técnicos operadores das tecnologias de informação e comunicação e de apoio aos utilizadores </t>
  </si>
  <si>
    <t xml:space="preserve">3511-Técnico operador das tecnologias de informação e comunicação (TIC) </t>
  </si>
  <si>
    <t xml:space="preserve">3511.0-Técnico operador das tecnologias de informação e comunicação (TIC) </t>
  </si>
  <si>
    <t>3512-Técnico de apoio aos utilizadores das tecnologias da informação e comunicação (TIC)</t>
  </si>
  <si>
    <t>3512.0-Técnico de apoio aos utilizadores das tecnologias da informação e comunicação (TIC)</t>
  </si>
  <si>
    <t>3513-Técnico em redes e sistemas de computadores</t>
  </si>
  <si>
    <t>3513.0-Técnico em redes e sistemas de computadores</t>
  </si>
  <si>
    <t>3514-Técnico da Web</t>
  </si>
  <si>
    <t>3514.0-Técnico da Web</t>
  </si>
  <si>
    <t>352-Técnicos das telecomunicações e da radiodifusão</t>
  </si>
  <si>
    <t xml:space="preserve">3521-Técnicos de emissões de rádio e televisão e de gravação audiovisual e de sistemas de comunicações via rádio </t>
  </si>
  <si>
    <t xml:space="preserve">3521.1-Técnico de emissões de rádio </t>
  </si>
  <si>
    <t xml:space="preserve">3521.2-Técnico de emissões de televisão </t>
  </si>
  <si>
    <t xml:space="preserve">3521.3-Técnico de gravação audiovisual </t>
  </si>
  <si>
    <t xml:space="preserve">3521.4-Técnico de sistemas de comunicações via rádio </t>
  </si>
  <si>
    <t>3522-Técnico de telecomunicações</t>
  </si>
  <si>
    <t>3522.0-Técnico de telecomunicações</t>
  </si>
  <si>
    <t>4-Pessoal administrativo</t>
  </si>
  <si>
    <t xml:space="preserve">41-Empregados de escritório, secretários em geral e operadores de processamento de dados </t>
  </si>
  <si>
    <t>411-Empregado de escritório em geral</t>
  </si>
  <si>
    <t>4110-Empregado de escritório em geral</t>
  </si>
  <si>
    <t>4110.0-Empregado de escritório em geral</t>
  </si>
  <si>
    <t>412-Técnico de secretariado</t>
  </si>
  <si>
    <t>4120-Técnico de secretariado</t>
  </si>
  <si>
    <t>4120.0-Técnico de secretariado</t>
  </si>
  <si>
    <t>413-Operadores de processamento de texto e dados</t>
  </si>
  <si>
    <t>4131-Dactilógrafo e operador de processamento de texto</t>
  </si>
  <si>
    <t>4131.0-Dactilógrafo e operador de processamento de texto</t>
  </si>
  <si>
    <t>4132-Operador de registo de dados</t>
  </si>
  <si>
    <t>4132.0-Operador de registo de dados</t>
  </si>
  <si>
    <t xml:space="preserve">42-Pessoal de apoio directo a clientes </t>
  </si>
  <si>
    <t>421-Caixas, penhoristas e similares</t>
  </si>
  <si>
    <t>4211-Caixa bancário e similar</t>
  </si>
  <si>
    <t>4211.0-Caixa bancário e similar</t>
  </si>
  <si>
    <t>4212-Empregado de banca nos casinos e outros empregados de apostas</t>
  </si>
  <si>
    <t>4212.0-Empregado de banca nos casinos e outros empregados de apostas</t>
  </si>
  <si>
    <t xml:space="preserve">4213-Penhorista e prestamista </t>
  </si>
  <si>
    <t xml:space="preserve">4213.0-Penhorista e prestamista </t>
  </si>
  <si>
    <t>4214-Cobrador de facturas e similares</t>
  </si>
  <si>
    <t>4214.0-Cobrador de facturas e similares</t>
  </si>
  <si>
    <t>422-Pessoal de recepção e de informação a clientes</t>
  </si>
  <si>
    <t xml:space="preserve">4221-Empregado das agências de viagens </t>
  </si>
  <si>
    <t>4221.0-Empregado das agências de viagens</t>
  </si>
  <si>
    <t>4222-Empregado dos centros de chamadas</t>
  </si>
  <si>
    <t>4222.0-Empregado dos centros de chamadas</t>
  </si>
  <si>
    <t>4223-Operador de central telefónica</t>
  </si>
  <si>
    <t>4223.0-Operador de central telefónica</t>
  </si>
  <si>
    <t xml:space="preserve">4224-Recepcionista de hotel  </t>
  </si>
  <si>
    <t xml:space="preserve">4224.0-Recepcionista de hotel  </t>
  </si>
  <si>
    <t>4225-Pessoal de informação administrativa</t>
  </si>
  <si>
    <t>4225.0-Pessoal de informação administrativa</t>
  </si>
  <si>
    <t xml:space="preserve">4226-Recepcionista, excepto de hotel </t>
  </si>
  <si>
    <t xml:space="preserve">4226.0-Recepcionista, excepto de hotel </t>
  </si>
  <si>
    <t>4227-Entrevistador de inquéritos e de estudos de mercado</t>
  </si>
  <si>
    <t>4227.0-Entrevistador de inquéritos e de estudos de mercado</t>
  </si>
  <si>
    <t xml:space="preserve">4229-Outro pessoal de recepção e de informação a clientes </t>
  </si>
  <si>
    <t xml:space="preserve">4229.0-Outro pessoal de recepção e de informação a clientes </t>
  </si>
  <si>
    <t>43-Operadores de dados, de contabilidade, estatística, de serviços financeiros e relacionados com o registo</t>
  </si>
  <si>
    <t xml:space="preserve">431-Operadores de dados, de contabilidade, estatística e serviços financeiros </t>
  </si>
  <si>
    <t>4311-Operador de contabilidade e escrituração comercial</t>
  </si>
  <si>
    <t>4311.0-Operador de contabilidade e escrituração comercial</t>
  </si>
  <si>
    <t>4312-Operador dos serviços de estatística, financeiros e seguros</t>
  </si>
  <si>
    <t>4312.0-Operador dos serviços de estatística, financeiros e seguros</t>
  </si>
  <si>
    <t xml:space="preserve">4313-Operador de dados de processamento de pagamentos </t>
  </si>
  <si>
    <t xml:space="preserve">4313.0-Operador de dados de processamento de pagamentos </t>
  </si>
  <si>
    <t>432-Empregados de aprovisionamento, armazém, de serviços de apoio à produção e transportes</t>
  </si>
  <si>
    <t xml:space="preserve">4321-Empregados de aprovisionamento e armazém </t>
  </si>
  <si>
    <t>4321.1-Empregado de aprovisionamento</t>
  </si>
  <si>
    <t xml:space="preserve">4321.2-Empregado de armazém </t>
  </si>
  <si>
    <t>4322-Empregado de serviços de apoio à produção</t>
  </si>
  <si>
    <t>4322.0-Empregado de serviços de apoio à produção</t>
  </si>
  <si>
    <t>4323-Empregado de controlo de registo dos serviços de transporte</t>
  </si>
  <si>
    <t>4323.1-Controlador de transportes terrestres de passageiros</t>
  </si>
  <si>
    <t>4323.2-Controlador de transportes terrestres de mercadorias</t>
  </si>
  <si>
    <t>4323.3-Empregado de controlo dos serviços de transportes aéreos e marítimos</t>
  </si>
  <si>
    <t xml:space="preserve">44-Outro pessoal de apoio de tipo administrativo </t>
  </si>
  <si>
    <t xml:space="preserve">441-Outro pessoal de apoio de tipo administrativo </t>
  </si>
  <si>
    <t xml:space="preserve">4411-Empregado de biblioteca </t>
  </si>
  <si>
    <t xml:space="preserve">4411.0-Empregado de biblioteca </t>
  </si>
  <si>
    <t>4412-Carteiro e similares</t>
  </si>
  <si>
    <t>4412.0-Carteiro e similares</t>
  </si>
  <si>
    <t>4413-Codificador, revisor de provas e similares</t>
  </si>
  <si>
    <t>4413.0-Codificador, revisor de provas e similares</t>
  </si>
  <si>
    <t>4414-Escrivão e similares</t>
  </si>
  <si>
    <t>4414.0-Escrivão e similares</t>
  </si>
  <si>
    <t xml:space="preserve">4415-Classificador arquivista </t>
  </si>
  <si>
    <t xml:space="preserve">4415.0-Classificador arquivista </t>
  </si>
  <si>
    <t>4416-Empregado de serviço de pessoal</t>
  </si>
  <si>
    <t>4416.0-Empregado de serviço de pessoal</t>
  </si>
  <si>
    <t xml:space="preserve">4419-Outro pessoal de apoio de tipo administrativo, n.e. </t>
  </si>
  <si>
    <t xml:space="preserve">4419.0-Outro pessoal de apoio de tipo administrativo, n.e. </t>
  </si>
  <si>
    <t>5-Trabalhadores dos serviços pessoais, de protecção e segurança e vendedores</t>
  </si>
  <si>
    <t>51-Trabalhadores dos serviços pessoais</t>
  </si>
  <si>
    <t>511-Assistentes de viagem, cobradores e guias intérpretes</t>
  </si>
  <si>
    <t xml:space="preserve">5111-Assistentes de viagem e comissários </t>
  </si>
  <si>
    <t xml:space="preserve">5111.0-Assistentes de viagem e comissários </t>
  </si>
  <si>
    <t>5112-Fiscal e cobrador de transportes públicos</t>
  </si>
  <si>
    <t>5112.0-Fiscal e cobrador de transportes públicos</t>
  </si>
  <si>
    <t xml:space="preserve">5113-Guia intérprete  </t>
  </si>
  <si>
    <t xml:space="preserve">5113.0-Guia intérprete  </t>
  </si>
  <si>
    <t xml:space="preserve">512-Cozinheiro </t>
  </si>
  <si>
    <t xml:space="preserve">5120-Cozinheiro </t>
  </si>
  <si>
    <t xml:space="preserve">5120.0-Cozinheiro </t>
  </si>
  <si>
    <t xml:space="preserve">513-Empregados de mesa e bar </t>
  </si>
  <si>
    <t xml:space="preserve">5131-Empregado de mesa </t>
  </si>
  <si>
    <t xml:space="preserve">5131.0-Empregado de mesa </t>
  </si>
  <si>
    <t>5132-Empregado de bar</t>
  </si>
  <si>
    <t>5132.0-Empregado de bar</t>
  </si>
  <si>
    <t>514-Cabeleireiros, esteticistas e similares</t>
  </si>
  <si>
    <t>5141-Cabeleireiro e barbeiro</t>
  </si>
  <si>
    <t>5141.0-Cabeleireiro e barbeiro</t>
  </si>
  <si>
    <t xml:space="preserve">5142-Esteticistas e trabalhadores similares </t>
  </si>
  <si>
    <t xml:space="preserve">5142.1-Esteticista </t>
  </si>
  <si>
    <t>5142.2-Massagista de estética</t>
  </si>
  <si>
    <t>5142.3-Manicura, pedicura e calista</t>
  </si>
  <si>
    <t>5142.4-Outros trabalhadores similares aos esteticistas</t>
  </si>
  <si>
    <t xml:space="preserve">515-Governante doméstico e encarregados de limpeza e de trabalhos domésticos </t>
  </si>
  <si>
    <t>5151-Encarregado de limpeza e de trabalhos domésticos em escritórios, hotéis e outros estabelecimentos</t>
  </si>
  <si>
    <t>5151.0-Encarregado de limpeza e de trabalhos domésticos em escritórios, hotéis e outros estabelecimentos</t>
  </si>
  <si>
    <t>5152-Governante doméstico</t>
  </si>
  <si>
    <t>5152.0-Governante doméstico</t>
  </si>
  <si>
    <t>5153-Porteiro de edifícios</t>
  </si>
  <si>
    <t>5153.0-Porteiro de edifícios</t>
  </si>
  <si>
    <t>516-Outros trabalhadores dos serviços pessoais</t>
  </si>
  <si>
    <t>5161-Astrólogos, adivinhadores e similares</t>
  </si>
  <si>
    <t>5161.1-Astrólogo</t>
  </si>
  <si>
    <t>5161.2-Adivinhador e similares</t>
  </si>
  <si>
    <t>5162-Pessoal de companhia e ajudantes de quarto</t>
  </si>
  <si>
    <t>5162.0-Pessoal de companhia e ajudantes de quarto</t>
  </si>
  <si>
    <t>5163-Agentes funerários e embalsamadores</t>
  </si>
  <si>
    <t>5163.1-Agente funerário</t>
  </si>
  <si>
    <t>5163.2-Embalsamador</t>
  </si>
  <si>
    <t xml:space="preserve">5164-Prestador de cuidados a animais </t>
  </si>
  <si>
    <t xml:space="preserve">5164.0-Prestador de cuidados a animais </t>
  </si>
  <si>
    <t>5165-Instrutor de condução</t>
  </si>
  <si>
    <t>5165.0-Instrutor de condução</t>
  </si>
  <si>
    <t>5169-Outros trabalhadores dos serviços pessoais, n.e.</t>
  </si>
  <si>
    <t>5169.0-Outros trabalhadores dos serviços pessoais, n.e.</t>
  </si>
  <si>
    <t>52-Vendedores</t>
  </si>
  <si>
    <t xml:space="preserve">521-Vendedores ambulantes e em mercados </t>
  </si>
  <si>
    <t xml:space="preserve">5211-Vendedor em quiosque e em mercados  </t>
  </si>
  <si>
    <t xml:space="preserve">5211.0-Vendedor em quiosque e em mercados  </t>
  </si>
  <si>
    <t>5212-Vendedor ambulante de produtos alimentares</t>
  </si>
  <si>
    <t>5212.0-Vendedor ambulante de produtos alimentares</t>
  </si>
  <si>
    <t xml:space="preserve">522-Vendedores em lojas </t>
  </si>
  <si>
    <t>5221-Comerciante de loja (estabelecimento)</t>
  </si>
  <si>
    <t>5221.0-Comerciante de loja (estabelecimento)</t>
  </si>
  <si>
    <t>5222-Encarregado de loja (estabelecimento)</t>
  </si>
  <si>
    <t>5222.0-Encarregado de loja (estabelecimento)</t>
  </si>
  <si>
    <t>5223-Vendedor em loja (estabelecimento)</t>
  </si>
  <si>
    <t>5223.0-Vendedor em loja (estabelecimento)</t>
  </si>
  <si>
    <t>523-Operadores de caixa e venda de bilhetes</t>
  </si>
  <si>
    <t>5230-Operadores de caixa e venda de bilhetes</t>
  </si>
  <si>
    <t>5230.1-Operador de caixa</t>
  </si>
  <si>
    <t xml:space="preserve">5230.2-Bilheteiro </t>
  </si>
  <si>
    <t>524-Outros trabalhadores relacionados com vendas</t>
  </si>
  <si>
    <t xml:space="preserve">5241-Manequim e outros modelos </t>
  </si>
  <si>
    <t xml:space="preserve">5241.0-Manequim e outros modelos </t>
  </si>
  <si>
    <t>5242-Demonstrador</t>
  </si>
  <si>
    <t>5242.0-Demonstrador</t>
  </si>
  <si>
    <t xml:space="preserve">5243-Vendedor ao domicílio </t>
  </si>
  <si>
    <t xml:space="preserve">5243.0-Vendedor ao domicílio </t>
  </si>
  <si>
    <t>5244-Vendedor de centros de contacto</t>
  </si>
  <si>
    <t>5244.0-Vendedor de centros de contacto</t>
  </si>
  <si>
    <t xml:space="preserve">5245-Assistente de estação de serviço ao condutor </t>
  </si>
  <si>
    <t xml:space="preserve">5245.0-Assistente de estação de serviço ao condutor </t>
  </si>
  <si>
    <t>5246-Assistente de venda de alimentos ao balcão</t>
  </si>
  <si>
    <t>5246.0-Assistente de venda de alimentos ao balcão</t>
  </si>
  <si>
    <t xml:space="preserve">5249-Outros trabalhadores relacionados com vendas, n.e. </t>
  </si>
  <si>
    <t xml:space="preserve">5249.0-Outros trabalhadores relacionados com vendas, n.e. </t>
  </si>
  <si>
    <t>53-Trabalhadores dos cuidados pessoais e similares</t>
  </si>
  <si>
    <t>531-Auxiliares de educadores de infância e de professores</t>
  </si>
  <si>
    <t>5311-Auxiliar de cuidados de crianças</t>
  </si>
  <si>
    <t>5311.0-Auxiliar de cuidados de crianças</t>
  </si>
  <si>
    <t>5312-Auxiliar de professor</t>
  </si>
  <si>
    <t>5312.0-Auxiliar de professor</t>
  </si>
  <si>
    <t>532-Trabalhadores de cuidados pessoais nos serviços de saúde</t>
  </si>
  <si>
    <t>5321-Auxiliar de saúde</t>
  </si>
  <si>
    <t>5321.0-Auxiliar de saúde</t>
  </si>
  <si>
    <t>5322-Ajudante familiar</t>
  </si>
  <si>
    <t>5322.0-Ajudante familiar</t>
  </si>
  <si>
    <t>5329-Outros trabalhadores dos cuidados pessoais e similares nos serviços de saúde</t>
  </si>
  <si>
    <t>5329.0-Outros trabalhadores dos cuidados pessoais e similares nos serviços de saúde</t>
  </si>
  <si>
    <t xml:space="preserve">54-Pessoal dos serviços de protecção e segurança </t>
  </si>
  <si>
    <t xml:space="preserve">541-Pessoal dos serviços de protecção e segurança </t>
  </si>
  <si>
    <t>5411-Bombeiro</t>
  </si>
  <si>
    <t>5411.0-Bombeiro</t>
  </si>
  <si>
    <t>5412-Agentes da PSP,  Polícia Marítima, Polícia Municipal, sargentos e guardas da GNR</t>
  </si>
  <si>
    <t>5412.1-Sargentos da Guarda Nacional Republicana</t>
  </si>
  <si>
    <t>5412.2-Guardas da Guarda Nacional Republicana</t>
  </si>
  <si>
    <t>5412.3-Agente de Polícia de Segurança Pública</t>
  </si>
  <si>
    <t xml:space="preserve">5412.4-Agente de Polícia Marítima </t>
  </si>
  <si>
    <t>5412.5-Agente de Polícia Municipal</t>
  </si>
  <si>
    <t>5412.6-Outros agentes de polícia</t>
  </si>
  <si>
    <t xml:space="preserve">5413-Guarda dos serviços prisionais </t>
  </si>
  <si>
    <t xml:space="preserve">5413.0-Guarda dos serviços prisionais </t>
  </si>
  <si>
    <t>5414-Segurança (vigilante privado), porteiros e similares</t>
  </si>
  <si>
    <t>5414.1-Porteiro de hotelaria</t>
  </si>
  <si>
    <t>5414.2-Segurança (vigilante privado), outros porteiros e similares</t>
  </si>
  <si>
    <t xml:space="preserve">5419-Outro pessoal dos serviços de protecção e segurança </t>
  </si>
  <si>
    <t xml:space="preserve">5419.0-Outro pessoal dos serviços de protecção e segurança </t>
  </si>
  <si>
    <t>6-Agricultores e trabalhadores qualificados da agricultura, da pesca e da floresta</t>
  </si>
  <si>
    <t>61-Agricultores e trabalhadores qualificados da agricultura e produção animal, orientados para o mercado</t>
  </si>
  <si>
    <t>611-Agricultores e trabalhadores qualificados de culturas agrícolas de mercado</t>
  </si>
  <si>
    <t>6111-Agricultor e trabalhador qualificado de cereais e outras culturas extensivas</t>
  </si>
  <si>
    <t>6111.0-Agricultor e trabalhador qualificado de cereais e outras culturas extensivas</t>
  </si>
  <si>
    <t xml:space="preserve">6112-Agricultor e trabalhador qualificado de culturas de árvores e arbustos </t>
  </si>
  <si>
    <t xml:space="preserve">6112.0-Agricultor e trabalhador qualificado de culturas de árvores e arbustos </t>
  </si>
  <si>
    <t xml:space="preserve">6113-Agricultor e trabalhador qualificado, da horticultura, floricultura, de viveiros e jardins </t>
  </si>
  <si>
    <t>6113.1-Agricultor e trabalhador qualificado da horticultura</t>
  </si>
  <si>
    <t>6113.2-Floricultor</t>
  </si>
  <si>
    <t>6113.3-Viveirista</t>
  </si>
  <si>
    <t>6113.4-Trabalhador qualificado da jardinagem</t>
  </si>
  <si>
    <t>6114-Agricultor e trabalhador qualificado de culturas agrícolas mistas</t>
  </si>
  <si>
    <t>6114.0-Agricultor e trabalhador qualificado de culturas agrícolas mistas</t>
  </si>
  <si>
    <t>612-Produtores e trabalhadores qualificados na criação animal</t>
  </si>
  <si>
    <t xml:space="preserve">6121-Produtores e trabalhadores qualificados na produção animal de carne e de leite </t>
  </si>
  <si>
    <t>6121.1-Produtor e trabalhador qualificado na produção de bovinos</t>
  </si>
  <si>
    <t>6121.2-Produtor e trabalhador qualificado na produção de ovinos e caprinos</t>
  </si>
  <si>
    <t>6121.3-Produtor e trabalhador qualificado na produção de suinos</t>
  </si>
  <si>
    <t>6121.4-Produtor e trabalhador qualificado na produção de outros animais de carne</t>
  </si>
  <si>
    <t xml:space="preserve">6122-Avicultor e trabalhador qualificado da avicultura </t>
  </si>
  <si>
    <t xml:space="preserve">6122.0-Avicultor e trabalhador qualificado da avicultura </t>
  </si>
  <si>
    <t>6123-Apicultor e sericicultor</t>
  </si>
  <si>
    <t xml:space="preserve">6123.1-Apicultor e trabalhador qualificado da apicultura </t>
  </si>
  <si>
    <t>6123.2-Sericicultor e trabalhador qualificado da sericicultura</t>
  </si>
  <si>
    <t>6129-Outros produtores e trabalhadores qualificados da criação animal</t>
  </si>
  <si>
    <t>6129.0-Outros produtores e trabalhadores qualificados da criação animal</t>
  </si>
  <si>
    <t xml:space="preserve">613-Agricultor e trabalhador qualificado da agricultura e produção animal combinadas, orientados para o mercado </t>
  </si>
  <si>
    <t xml:space="preserve">6130-Agricultor e trabalhador qualificado da agricultura e produção animal combinadas, orientados para o mercado </t>
  </si>
  <si>
    <t xml:space="preserve">6130.0-Agricultor e trabalhador qualificado da agricultura e produção animal combinadas, orientados para o mercado </t>
  </si>
  <si>
    <t>62-Trabalhadores qualificados da floresta, pesca e caça, orientados para o mercado</t>
  </si>
  <si>
    <t>621-Trabalhadores qualificados da floresta e similares</t>
  </si>
  <si>
    <t>6210-Trabalhadores qualificados da floresta e similares</t>
  </si>
  <si>
    <t>6210.1-Motosserrista</t>
  </si>
  <si>
    <t>6210.2-Sapador florestal</t>
  </si>
  <si>
    <t xml:space="preserve">6210.3-Outros trabalhadores qualificados da floresta e similares </t>
  </si>
  <si>
    <t>622-Trabalhadores qualificados da aquicultura e das pescas; caçador (inclui com armadilha)</t>
  </si>
  <si>
    <t xml:space="preserve">6221-Aquicultores (aquacultores) e trabalhadores qualificados da aquicultura </t>
  </si>
  <si>
    <t>6221.1-Aquicultor (aquacultor) e trabalhador qualificado de aquicultura de águas interiores</t>
  </si>
  <si>
    <t>6221.2-Aquicultor (aquacultor) e trabalhador qualificado de aquicultura de águas marítimas</t>
  </si>
  <si>
    <t>6222-Pescadores e trabalhadores qualificados da pesca em águas costeiras e interiores</t>
  </si>
  <si>
    <t>6222.1-Pescador de águas interiores</t>
  </si>
  <si>
    <t>6222.2-Mestre, contramestre e arrais, de pesca marítima costeira</t>
  </si>
  <si>
    <t xml:space="preserve">6222.3-Pescador e marinheiro pescador, de pesca marítima costeira </t>
  </si>
  <si>
    <t>6222.4-Outros trabalhadores qualificados de pesca de águas interiores</t>
  </si>
  <si>
    <t xml:space="preserve">6222.5-Outros trabalhadores qualificados de pesca marítima costeira </t>
  </si>
  <si>
    <t>6223-Pescadores e trabalhadores qualificados da pesca do largo (alto mar)</t>
  </si>
  <si>
    <t>6223.1-Mestre, contramestre e arrais, de pesca marítima do largo</t>
  </si>
  <si>
    <t>6223.2-Pescador e marinheiro pescador, de pesca marítima do largo</t>
  </si>
  <si>
    <t xml:space="preserve">6223.3-Outros trabalhadores qualificados da pesca marítima do largo </t>
  </si>
  <si>
    <t>6224-Caçador qualificado (inclui com armadilhas) orientado para o mercado</t>
  </si>
  <si>
    <t>6224.0-Caçador qualificado (inclui com armadilhas) orientado para o mercado</t>
  </si>
  <si>
    <t xml:space="preserve">63-Agricultores, criadores de animais, pescadores, caçadores e colectores, de subsistência </t>
  </si>
  <si>
    <t xml:space="preserve">631-Agricultor de subsistência </t>
  </si>
  <si>
    <t xml:space="preserve">6310-Agricultor de subsistência </t>
  </si>
  <si>
    <t xml:space="preserve">6310.0-Agricultor de subsistência </t>
  </si>
  <si>
    <t>632-Criador de animais de subsistência</t>
  </si>
  <si>
    <t>6320-Criador de animais de subsistência</t>
  </si>
  <si>
    <t>6320.0-Criador de animais de subsistência</t>
  </si>
  <si>
    <t xml:space="preserve">633-Agricultor e criador de animais de produção combinada, de subsistência </t>
  </si>
  <si>
    <t xml:space="preserve">6330-Agricultor e criador de animais de produção combinada, de subsistência </t>
  </si>
  <si>
    <t xml:space="preserve">6330.0-Agricultor e criador de animais de produção combinada, de subsistência </t>
  </si>
  <si>
    <t>634-Pescador, caçador e colector, de subsistência</t>
  </si>
  <si>
    <t>6340-Pescador, caçador e colector, de subsistência</t>
  </si>
  <si>
    <t>6340.0-Pescador, caçador e colector, de subsistência</t>
  </si>
  <si>
    <t>7-Trabalhadores qualificados da indústria, construção e artífices</t>
  </si>
  <si>
    <t xml:space="preserve">71-Trabalhadores qualificados da construção e similares, excepto electricista </t>
  </si>
  <si>
    <t>711-Trabalhadores qualificados da construção das estruturas básicas e similares</t>
  </si>
  <si>
    <t>7111-Construtor de casas rudimentares</t>
  </si>
  <si>
    <t>7111.0-Construtor de casas rudimentares</t>
  </si>
  <si>
    <t xml:space="preserve">7112-Pedreiro, calceteiro e assentador de refractários </t>
  </si>
  <si>
    <t>7112.1-Pedreiro</t>
  </si>
  <si>
    <t xml:space="preserve">7112.2-Calceteiro </t>
  </si>
  <si>
    <t>7112.3-Assentador de refractários</t>
  </si>
  <si>
    <t xml:space="preserve">7113-Trabalhadores da pedra, canteiros e similares </t>
  </si>
  <si>
    <t>7113.1-Polidor de pedra</t>
  </si>
  <si>
    <t>7113.2-Canteiro</t>
  </si>
  <si>
    <t>7113.3-Outros trabalhadores qualificados da pedra e similares</t>
  </si>
  <si>
    <t>7114-Trabalhadores de betão armado e similares</t>
  </si>
  <si>
    <t>7114.1-Cimenteiro</t>
  </si>
  <si>
    <t>7114.2-Armador de ferro</t>
  </si>
  <si>
    <t>7114.3-Montador de alvenarias e de pré-esforçados</t>
  </si>
  <si>
    <t>7114.4-Outros trabalhadores qualificados em betão armado e similares</t>
  </si>
  <si>
    <t>7115-Carpinteiros e similares</t>
  </si>
  <si>
    <t>7115.1-Carpinteiro de limpos e de tosco</t>
  </si>
  <si>
    <t>7115.2-Carpinteiro naval</t>
  </si>
  <si>
    <t>7115.3-Outros carpinteiros e similares</t>
  </si>
  <si>
    <t>7119-Outros trabalhadores qualificados da construção das estruturas básicas e similares</t>
  </si>
  <si>
    <t>7119.1-Montador de andaimes</t>
  </si>
  <si>
    <t xml:space="preserve">7119.2-Espalhador de betuminosos </t>
  </si>
  <si>
    <t>7119.3-Outros trabalhadores qualificados da construção de estruturas básicas e similares, n.e.</t>
  </si>
  <si>
    <t xml:space="preserve">712-Trabalhadores qualificados em acabamentos da construção e similares </t>
  </si>
  <si>
    <t xml:space="preserve">7121-Colocador de telhados e de coberturas </t>
  </si>
  <si>
    <t xml:space="preserve">7121.0-Colocador de telhados e de coberturas </t>
  </si>
  <si>
    <t>7122-Assentadores de revestimentos e ladrilhadores</t>
  </si>
  <si>
    <t>7122.1-Assentador de tacos e afagador de madeira</t>
  </si>
  <si>
    <t>7122.2-Ladrilhador</t>
  </si>
  <si>
    <t xml:space="preserve">7122.3-Outros assentadores de revestimentos </t>
  </si>
  <si>
    <t>7123-Estucador</t>
  </si>
  <si>
    <t>7123.0-Estucador</t>
  </si>
  <si>
    <t>7124-Trabalhador qualificado em isolamentos acústicos e térmicos</t>
  </si>
  <si>
    <t>7124.0-Trabalhador qualificado em isolamentos acústicos e térmicos</t>
  </si>
  <si>
    <t xml:space="preserve">7125-Vidraceiro </t>
  </si>
  <si>
    <t xml:space="preserve">7125.0-Vidraceiro </t>
  </si>
  <si>
    <t>7126-Canalizador e montador de tubagens</t>
  </si>
  <si>
    <t>7126.1-Canalizador</t>
  </si>
  <si>
    <t>7126.2-Montador de tubagens</t>
  </si>
  <si>
    <t>7127-Instalador de ar condicionado e de sistemas de refrigeração</t>
  </si>
  <si>
    <t>7127.0-Instalador de ar condicionado e de sistemas de refrigeração</t>
  </si>
  <si>
    <t>713-Pintores, limpadores de fachadas e similares</t>
  </si>
  <si>
    <t>7131-Pintores de construções e trabalhadores similares</t>
  </si>
  <si>
    <t>7131.1-Pintor de construções</t>
  </si>
  <si>
    <t xml:space="preserve">7131.2-Colocador de papel de parede, pintor decorador e similares </t>
  </si>
  <si>
    <t>7132-Pintores à pistola e envernizadores</t>
  </si>
  <si>
    <t>7132.1-Pintor à pistola de superfícies</t>
  </si>
  <si>
    <t>7132.2-Envernizador</t>
  </si>
  <si>
    <t>7133-Limpadores de fachadas e de outras estruturas de edifícios</t>
  </si>
  <si>
    <t xml:space="preserve">7133.1-Limpador de fachadas </t>
  </si>
  <si>
    <t xml:space="preserve">7133.2-Limpador de chaminés e de outras estruturas de edifícios </t>
  </si>
  <si>
    <t>72-Trabalhadores qualificados da metalurgia, metalomecânica e similares</t>
  </si>
  <si>
    <t>721-Trabalhadores de chapas metálicas, preparadores e montadores de estruturas metálicas, moldadores de metal, soldadores e trabalhadores similares</t>
  </si>
  <si>
    <t>7211-Operador de fundição</t>
  </si>
  <si>
    <t>7211.0-Operador de fundição</t>
  </si>
  <si>
    <t>7212-Soldadores e trabalhadores de corte a oxi-gás</t>
  </si>
  <si>
    <t>7212.1-Soldador</t>
  </si>
  <si>
    <t>7212.2-Trabalhador de corte a oxi-gás</t>
  </si>
  <si>
    <t>7213-Trabalhadores de chapas metálicas</t>
  </si>
  <si>
    <t>7213.1-Bate-chapa de veículos automóveis</t>
  </si>
  <si>
    <t xml:space="preserve">7213.2-Funileiro e caldeireiro </t>
  </si>
  <si>
    <t>7214-Preparador e montador de estruturas metálicas</t>
  </si>
  <si>
    <t>7214.1-Serralheiro civil</t>
  </si>
  <si>
    <t>7214.2-Outro preparador e montador de estruturas metálicas</t>
  </si>
  <si>
    <t>7215-Armador e montador de cabos metálicos</t>
  </si>
  <si>
    <t>7215.0-Armador e montador de cabos metálicos</t>
  </si>
  <si>
    <t xml:space="preserve">722-Forjadores, serralheiros mecânicos e similares </t>
  </si>
  <si>
    <t>7221-Forjadores, ferreiros, operadores de prensas de forjar, estampadores e similares</t>
  </si>
  <si>
    <t>7221.1-Forjador e ferreiro</t>
  </si>
  <si>
    <t xml:space="preserve">7221.2-Operador de prensa de forjar, estampador e similares </t>
  </si>
  <si>
    <t xml:space="preserve">7222-Serralheiro de moldes, cunhos, cortantes e similares </t>
  </si>
  <si>
    <t xml:space="preserve">7222.0-Serralheiro de moldes, cunhos, cortantes e similares </t>
  </si>
  <si>
    <t>7223-Reguladores e operadores de máquinas-ferramentas para trabalhar metais</t>
  </si>
  <si>
    <t xml:space="preserve">7223.1-Regulador e operador de máquinas-ferramentas convencionais para trabalhar metais </t>
  </si>
  <si>
    <t xml:space="preserve">7223.2-Regulador e operador de máquinas-ferramentas de comando numérico computorizado para trabalhar metais </t>
  </si>
  <si>
    <t xml:space="preserve">7224-Rectificador de rodas, polidor e afiador de metais </t>
  </si>
  <si>
    <t xml:space="preserve">7224.0-Rectificador de rodas, polidor e afiador de metais </t>
  </si>
  <si>
    <t xml:space="preserve">723-Mecânicos e reparadores, de máquinas e de veículos </t>
  </si>
  <si>
    <t>7231-Mecânico e reparador de veículos automóveis</t>
  </si>
  <si>
    <t>7231.0-Mecânico e reparador de veículos automóveis</t>
  </si>
  <si>
    <t xml:space="preserve">7232-Técnico de manutenção e reparação de motores de avião </t>
  </si>
  <si>
    <t xml:space="preserve">7232.0-Técnico de manutenção e reparação de motores de avião </t>
  </si>
  <si>
    <t xml:space="preserve">7233-Mecânico e reparador, de máquinas agrícolas e industriais </t>
  </si>
  <si>
    <t xml:space="preserve">7233.0-Mecânico e reparador, de máquinas agrícolas e industriais </t>
  </si>
  <si>
    <t>7234-Reparador de bicicletas e similares</t>
  </si>
  <si>
    <t>7234.0-Reparador de bicicletas e similares</t>
  </si>
  <si>
    <t>73-Trabalhadores qualificados da impressão, do fabrico de instrumentos de precisão, joalheiros, artesãos e similares</t>
  </si>
  <si>
    <t xml:space="preserve">731-Trabalhadores qualificados do fabrico de instrumentos de precisão, joalheiros, artesãos e similares </t>
  </si>
  <si>
    <t>7311-Trabalhador qualificado do fabrico e reparação de instrumentos de precisão</t>
  </si>
  <si>
    <t>7311.0-Trabalhador qualificado do fabrico e reparação de instrumentos de precisão</t>
  </si>
  <si>
    <t>7312-Trabalhador qualificado do fabrico e afinação de instrumentos musicais</t>
  </si>
  <si>
    <t>7312.0-Trabalhador qualificado do fabrico e afinação de instrumentos musicais</t>
  </si>
  <si>
    <t>7313-Joalheiros, ourives e trabalhadores de diamantes industriais</t>
  </si>
  <si>
    <t>7313.1-Joalheiro</t>
  </si>
  <si>
    <t>7313.2-Filigranista</t>
  </si>
  <si>
    <t>7313.3-Outros ourives e trabalhadores de diamantes industriais</t>
  </si>
  <si>
    <t xml:space="preserve">7314-Oleiros e similares </t>
  </si>
  <si>
    <t xml:space="preserve">7314.1-Oleiro </t>
  </si>
  <si>
    <t xml:space="preserve">7314.2-Modelador e formista, de cerâmica </t>
  </si>
  <si>
    <t xml:space="preserve">7314.3-Outros oleiros e similares </t>
  </si>
  <si>
    <t xml:space="preserve">7315-Sopradores, cortadores, polidores e acabadores, de vidro </t>
  </si>
  <si>
    <t>7315.1-Soprador de artigos de vidro</t>
  </si>
  <si>
    <t>7315.2-Cortador de vidro</t>
  </si>
  <si>
    <t>7315.3-Polidor e acabador de artigos de vidro</t>
  </si>
  <si>
    <t xml:space="preserve">7316-Lapidadores, gravadores e pintores-decoradores, de vidro, cerâmica e outros materiais </t>
  </si>
  <si>
    <t>7316.1-Lapidador e gravador, de vidro, cerâmica e outros materiais</t>
  </si>
  <si>
    <t>7316.2-Pintor-decorador de vidro, cerâmica e outros materiais</t>
  </si>
  <si>
    <t xml:space="preserve">7317-Artesãos de artigos em madeira, cestaria e materiais similares                                                                                                                                                                                                 </t>
  </si>
  <si>
    <t>7317.1-Artesão de artigos em madeira</t>
  </si>
  <si>
    <t>7317.2-Artesão de cestaria e artigos similares</t>
  </si>
  <si>
    <t xml:space="preserve">7318-Trabalhadores manuais de artigos têxteis, couro e materiais similares </t>
  </si>
  <si>
    <t xml:space="preserve">7318.1-Artesão de rendas, bordados e tapeçarias, manuais </t>
  </si>
  <si>
    <t>7318.2-Artesão de artigos de couro</t>
  </si>
  <si>
    <t>7318.3-Outros trabalhadores manuais de artigos têxteis, couro e materiais similares</t>
  </si>
  <si>
    <t>7319-Outros trabalhadores qualificados do fabrico de instrumentos de precisão, artesãos e similares</t>
  </si>
  <si>
    <t>7319.0-Outros trabalhadores qualificados do fabrico de instrumentos de precisão, artesãos e similares</t>
  </si>
  <si>
    <t xml:space="preserve">732-Trabalhadores da impressão </t>
  </si>
  <si>
    <t>7321-Operador de pré-impressão</t>
  </si>
  <si>
    <t>7321.0-Operador de pré-impressão</t>
  </si>
  <si>
    <t>7322-Serígrafo e outros operadores de impressão</t>
  </si>
  <si>
    <t>7322.1-Serígrafo e similar</t>
  </si>
  <si>
    <t>7322.2-Outros operadores de impressão</t>
  </si>
  <si>
    <t>7323-Encadernadores e similares</t>
  </si>
  <si>
    <t xml:space="preserve">7323.1-Encadernador </t>
  </si>
  <si>
    <t>7323.2-Outros trabalhadores relacionados com o acabamento da impressão</t>
  </si>
  <si>
    <t>74-Trabalhadores qualificados em electricidade e em electrónica</t>
  </si>
  <si>
    <t>741-Instaladores e reparadores de equipamento eléctrico</t>
  </si>
  <si>
    <t xml:space="preserve">7411-Electricista de construções e similares </t>
  </si>
  <si>
    <t xml:space="preserve">7411.0-Electricista de construções e similares </t>
  </si>
  <si>
    <t xml:space="preserve">7412-Electromecânico, electricista e instalador de máquinas e equipamentos eléctricos </t>
  </si>
  <si>
    <t xml:space="preserve">7412.1-Instalador de sistemas solares térmicos </t>
  </si>
  <si>
    <t xml:space="preserve">7412.2-Instalador de sistemas solares fotovoltaicos </t>
  </si>
  <si>
    <t>7412.3-Instalador de sistemas de bioenergia</t>
  </si>
  <si>
    <t xml:space="preserve">7412.4-Electromecânico, electricista e outros instaladores de máquinas e equipamentos eléctricos </t>
  </si>
  <si>
    <t>7413-Instalador e reparador de linhas eléctricas</t>
  </si>
  <si>
    <t>7413.0-Instalador e reparador de linhas eléctricas</t>
  </si>
  <si>
    <t>742-Instaladores e reparadores, de equipamentos electrónicos e de telecomunicações</t>
  </si>
  <si>
    <t xml:space="preserve">7421-Mecânico e reparador de equipamentos electrónicos </t>
  </si>
  <si>
    <t xml:space="preserve">7421.0-Mecânico e reparador de equipamentos electrónicos </t>
  </si>
  <si>
    <t xml:space="preserve">7422-Instalador e reparador, de tecnologias de informação e comunicação  </t>
  </si>
  <si>
    <t xml:space="preserve">7422.0-Instalador e reparador, de tecnologias de informação e comunicação  </t>
  </si>
  <si>
    <t xml:space="preserve">75-Trabalhadores da transformação de alimentos, da madeira, do vestuário e outras indústrias e artesanato </t>
  </si>
  <si>
    <t xml:space="preserve">751-Trabalhadores qualificados da transformação de alimentos </t>
  </si>
  <si>
    <t>7511-Preparadores de carne, peixe e similares</t>
  </si>
  <si>
    <t>7511.1-Matador de animais</t>
  </si>
  <si>
    <t>7511.2-Cortador de carne</t>
  </si>
  <si>
    <t>7511.3-Salsicheiro</t>
  </si>
  <si>
    <t>7511.4-Preparador e conservador de peixe</t>
  </si>
  <si>
    <t>7511.5-Outros preparadores de carne, peixe e similares</t>
  </si>
  <si>
    <t>7512-Padeiros, pasteleiros e confeiteiros</t>
  </si>
  <si>
    <t>7512.1-Padeiro</t>
  </si>
  <si>
    <t xml:space="preserve">7512.2-Pasteleiro </t>
  </si>
  <si>
    <t xml:space="preserve">7512.3-Confeiteiro </t>
  </si>
  <si>
    <t xml:space="preserve">7513-Trabalhador do fabrico de produtos lácteos </t>
  </si>
  <si>
    <t xml:space="preserve">7513.0-Trabalhador do fabrico de produtos lácteos </t>
  </si>
  <si>
    <t>7514-Conserveiro de frutas, legumes e similares</t>
  </si>
  <si>
    <t>7514.0-Conserveiro de frutas, legumes e similares</t>
  </si>
  <si>
    <t>7515-Provadores e classificadores, de alimentos e bebidas</t>
  </si>
  <si>
    <t>7515.0-Provadores e classificadores, de alimentos e bebidas</t>
  </si>
  <si>
    <t xml:space="preserve">7516-Preparador e transformador, de tabaco e seus produtos </t>
  </si>
  <si>
    <t xml:space="preserve">7516.0-Preparador e transformador, de tabaco e seus produtos </t>
  </si>
  <si>
    <t>752-Trabalhadores do tratamento da madeira e cortiça, marceneiros e similares</t>
  </si>
  <si>
    <t>7521-Trabalhadores do tratamento da madeira e cortiça</t>
  </si>
  <si>
    <t xml:space="preserve">7521.1-Trabalhador do tratamento da madeira </t>
  </si>
  <si>
    <t>7521.2-Trabalhador do tratamento da cortiça</t>
  </si>
  <si>
    <t xml:space="preserve">7522-Marceneiros e similares </t>
  </si>
  <si>
    <t>7522.1-Marceneiro</t>
  </si>
  <si>
    <t xml:space="preserve">7522.2-Tanoeiro, embutidor e outros similares a marceneiro </t>
  </si>
  <si>
    <t>7523-Operador de máquinas e de equipamentos para trabalhar madeira e cortiça</t>
  </si>
  <si>
    <t>7523.1-Operador de máquinas e de equipamentos para trabalhar madeira</t>
  </si>
  <si>
    <t>7523.2-Operador de máquinas e de equipamentos para trabalhar  cortiça</t>
  </si>
  <si>
    <t>753-Trabalhadores da confecção de vestuário, curtidores de peles, sapateiros e similares</t>
  </si>
  <si>
    <t xml:space="preserve">7531-Alfaiates, costureiros, peleiros e chapeleiros   </t>
  </si>
  <si>
    <t xml:space="preserve">7531.1-Alfaiate e costureiro </t>
  </si>
  <si>
    <t>7531.2-Peleiro</t>
  </si>
  <si>
    <t xml:space="preserve">7531.3-Chapeleiro </t>
  </si>
  <si>
    <t xml:space="preserve">7532-Riscador de moldes e cortadores, de tecido, couro e similares </t>
  </si>
  <si>
    <t>7532.1-Riscador de moldes e cortador de tecidos</t>
  </si>
  <si>
    <t>7532.2-Riscador de moldes e cortador, de couros e similares</t>
  </si>
  <si>
    <t xml:space="preserve">7533-Trabalhadores de costura, bordados e similares </t>
  </si>
  <si>
    <t>7533.1-Bordador</t>
  </si>
  <si>
    <t xml:space="preserve">7533.2-Trabalhador de costura e similares </t>
  </si>
  <si>
    <t>7534-Estofadores e similares</t>
  </si>
  <si>
    <t>7534.1-Estofador</t>
  </si>
  <si>
    <t>7534.2-Colchoeiro</t>
  </si>
  <si>
    <t>7534.3-Outros trabalhadores similares a estofador</t>
  </si>
  <si>
    <t xml:space="preserve">7535-Curtidores, preparadores e acabadores, de peles </t>
  </si>
  <si>
    <t>7535.1-Curtidor de peles</t>
  </si>
  <si>
    <t>7535.2-Preparador e acabador de peles</t>
  </si>
  <si>
    <t>7536-Sapateiros e similares</t>
  </si>
  <si>
    <t>7536.1-Sapateiro</t>
  </si>
  <si>
    <t>7536.2-Maleiro</t>
  </si>
  <si>
    <t>7536.3-Correeiro</t>
  </si>
  <si>
    <t>7536.4-Albardeiro e similares</t>
  </si>
  <si>
    <t xml:space="preserve">754-Trabalhadores de outros ofícios </t>
  </si>
  <si>
    <t xml:space="preserve">7541-Mergulhador </t>
  </si>
  <si>
    <t xml:space="preserve">7541.0-Mergulhador </t>
  </si>
  <si>
    <t xml:space="preserve">7542-Carregador de fogo e dinamitador </t>
  </si>
  <si>
    <t xml:space="preserve">7542.0-Carregador de fogo e dinamitador </t>
  </si>
  <si>
    <t>7543-Calibrador e verificador de produtos (excepto alimentos e bebidas)</t>
  </si>
  <si>
    <t>7543.0-Calibrador e verificador de produtos (excepto alimentos e bebidas)</t>
  </si>
  <si>
    <t>7544-Fumigador e outros controladores, de pragas e ervas daninhas</t>
  </si>
  <si>
    <t>7544.0-Fumigador e outros controladores, de pragas e ervas daninhas</t>
  </si>
  <si>
    <t>7549-Trabalhador de outros ofícios, n.e.</t>
  </si>
  <si>
    <t>7549.1-Trabalhador de vidro de óptica</t>
  </si>
  <si>
    <t xml:space="preserve">7549.2-Salineiro </t>
  </si>
  <si>
    <t>7549.3-Trabalhador de fabrico de foguetes (fogueteiro)</t>
  </si>
  <si>
    <t>7549.4-Trabalhador de outros ofícios diversos, n.e.</t>
  </si>
  <si>
    <t>8-Operadores de instalações e máquinas e trabalhadores da montagem</t>
  </si>
  <si>
    <t>81-Operadores de instalações fixas e máquinas</t>
  </si>
  <si>
    <t xml:space="preserve">811-Operadores de instalações, da extracção mineira e de processamento de minerais </t>
  </si>
  <si>
    <t xml:space="preserve">8111-Mineiros e trabalhadores das pedreiras </t>
  </si>
  <si>
    <t>8111.1-Mineiro</t>
  </si>
  <si>
    <t>8111.2-Trabalhador das pedreiras</t>
  </si>
  <si>
    <t>8112-Operadores de instalações de processamento de minérios e rochas</t>
  </si>
  <si>
    <t>8112.1-Operador de instalações de processamento de minérios</t>
  </si>
  <si>
    <t>8112.2-Operador de instalações de processamento de rochas</t>
  </si>
  <si>
    <t>8113-Perfurador de poços, sondador e similares</t>
  </si>
  <si>
    <t>8113.0-Perfurador de poços, sondador e similares</t>
  </si>
  <si>
    <t>8114-Operadores de máquinas para trabalhar cimento, pedra e outros minerais</t>
  </si>
  <si>
    <t>8114.1-Operador de máquinas para trabalhar o cimento</t>
  </si>
  <si>
    <t>8114.2-Operador de máquinas para trabalhar a pedra</t>
  </si>
  <si>
    <t>8114.3-Operador de máquinas para trabalhar outros minerais</t>
  </si>
  <si>
    <t xml:space="preserve">812-Operadores de instalações de transformação e acabamento, de metais </t>
  </si>
  <si>
    <t xml:space="preserve">8121-Operadores de instalações de transformação de metais </t>
  </si>
  <si>
    <t xml:space="preserve">8121.1-Operador de instalações de fornos e de primeira transformação de metais </t>
  </si>
  <si>
    <t xml:space="preserve">8121.2-Operador de instalações de fornos de segunda fusão, vazadores e laminadores, de metais </t>
  </si>
  <si>
    <t xml:space="preserve">8121.3-Operador de instalações de tratamento térmico de metais </t>
  </si>
  <si>
    <t>8121.4-Operador de instalações de trefilagem e estiragem</t>
  </si>
  <si>
    <t>8122-Operador de máquinas de revestimento, metalização e acabamento de metais</t>
  </si>
  <si>
    <t>8122.0-Operador de máquinas de revestimento, metalização e acabamento de metais</t>
  </si>
  <si>
    <t>813-Operadores de instalações e máquinas, do fabrico de produtos químicos e fotográficos</t>
  </si>
  <si>
    <t xml:space="preserve">8131-Operadores de instalações e máquinas do fabrico de produtos químicos </t>
  </si>
  <si>
    <t>8131.1-Operador de instalações e máquinas para moagem de substâncias químicas</t>
  </si>
  <si>
    <t>8131.2-Operador de instalações e máquinas para tratamento térmico de produtos químicos</t>
  </si>
  <si>
    <t>8131.3-Operador de instalações e máquinas, para filtragem e separação química</t>
  </si>
  <si>
    <t xml:space="preserve">8131.4-Operador de instalações e máquinas, para reacção e verificação de produtos químicos </t>
  </si>
  <si>
    <t>8131.5-Operador de instalações e máquinas, para petróleo e gás</t>
  </si>
  <si>
    <t xml:space="preserve">8131.6-Operador de instalações e máquinas para outros tratamentos químicos </t>
  </si>
  <si>
    <t xml:space="preserve">8132-Operador de máquinas para o fabrico de produtos fotográficos </t>
  </si>
  <si>
    <t xml:space="preserve">8132.0-Operador de máquinas para o fabrico de produtos fotográficos </t>
  </si>
  <si>
    <t xml:space="preserve">814-Operadores de máquinas para o fabrico de produtos de borracha, plástico e papel </t>
  </si>
  <si>
    <t>8141-Operador de máquinas para o fabrico de produtos de borracha</t>
  </si>
  <si>
    <t>8141.0-Operador de máquinas para o fabrico de produtos de borracha</t>
  </si>
  <si>
    <t>8142-Operador de máquinas para o fabrico de produtos de matérias plásticas</t>
  </si>
  <si>
    <t>8142.0-Operador de máquinas para o fabrico de produtos de matérias plásticas</t>
  </si>
  <si>
    <t>8143-Operador de máquinas para o fabrico de produtos de papel</t>
  </si>
  <si>
    <t>8143.0-Operador de máquinas para o fabrico de produtos de papel</t>
  </si>
  <si>
    <t xml:space="preserve">815-Operadores de máquinas para o fabrico de produtos têxteis, de pele com pêlo e couro </t>
  </si>
  <si>
    <t xml:space="preserve">8151-Operador de máquinas para preparar, fiar e bobinar, fibras têxteis </t>
  </si>
  <si>
    <t xml:space="preserve">8151.0-Operador de máquinas para preparar, fiar e bobinar, fibras têxteis </t>
  </si>
  <si>
    <t xml:space="preserve">8152-Operador de máquinas de tecer e tricotar </t>
  </si>
  <si>
    <t xml:space="preserve">8152.0-Operador de máquinas de tecer e tricotar </t>
  </si>
  <si>
    <t>8153-Operador de máquinas de costura</t>
  </si>
  <si>
    <t>8153.0-Operador de máquinas de costura</t>
  </si>
  <si>
    <t>8154-Operador de máquinas de branquear, tingir e limpar, tecidos e outros têxteis</t>
  </si>
  <si>
    <t>8154.0-Operador de máquinas de branquear, tingir e limpar, tecidos e outros têxteis</t>
  </si>
  <si>
    <t>8155-Operador de máquinas para preparar peles com pêlo e couro</t>
  </si>
  <si>
    <t>8155.0-Operador de máquinas para preparar peles com pêlo e couro</t>
  </si>
  <si>
    <t>8156-Operador de máquinas de fabrico de calçado e similares</t>
  </si>
  <si>
    <t>8156.0-Operador de máquinas de fabrico de calçado e similares</t>
  </si>
  <si>
    <t xml:space="preserve">8157-Operador de máquinas de lavandaria </t>
  </si>
  <si>
    <t xml:space="preserve">8157.0-Operador de máquinas de lavandaria </t>
  </si>
  <si>
    <t>8159-Outros operadores de máquinas para o fabrico de produtos têxteis, de pele com pêlo e couro</t>
  </si>
  <si>
    <t>8159.0-Outros operadores de máquinas para o fabrico de produtos têxteis, de pele com pêlo e couro</t>
  </si>
  <si>
    <t xml:space="preserve">816-Operadores de máquinas do fabrico de produtos alimentares e similares  </t>
  </si>
  <si>
    <t xml:space="preserve">8160-Operadores de máquinas do fabrico de produtos alimentares e similares  </t>
  </si>
  <si>
    <t>8160.1-Operador de máquinas de preparação de carne e peixe</t>
  </si>
  <si>
    <t>8160.2-Operador de máquinas de fabrico de produtos lácteos</t>
  </si>
  <si>
    <t>8160.3-Operador de máquinas de moagem de cereais, de transformação de arroz e de fabricação de rações</t>
  </si>
  <si>
    <t xml:space="preserve">8160.4-Operador de máquinas de produtos de padaria, de pastelaria, de confeitaria e de massas alimentícias </t>
  </si>
  <si>
    <t xml:space="preserve">8160.5-Operador de máquinas de tratamento de frutos, legumes, fabrico de azeite, óleos alimentares e margarinas </t>
  </si>
  <si>
    <t xml:space="preserve">8160.6-Operador de máquinas de produção e refinação de açúcar </t>
  </si>
  <si>
    <t>8160.7-Operador de máquinas para preparação de chá, café e cacau</t>
  </si>
  <si>
    <t>8160.8-Operador de máquinas para preparação de vinhos e outras bebidas</t>
  </si>
  <si>
    <t>8160.9-Operador de máquinas para o fabrico do tabaco</t>
  </si>
  <si>
    <t>817-Operadores de instalações para o fabrico de papel, para o trabalho da madeira e cortiça</t>
  </si>
  <si>
    <t xml:space="preserve">8171-Operador de instalações para o fabrico de pasta de papel e de papel </t>
  </si>
  <si>
    <t xml:space="preserve">8171.0-Operador de instalações para o fabrico de pasta de papel e de papel </t>
  </si>
  <si>
    <t>8172-Operador de instalações para o trabalho da madeira e cortiça</t>
  </si>
  <si>
    <t>8172.0-Operador de instalações para o trabalho da madeira e cortiça</t>
  </si>
  <si>
    <t xml:space="preserve">818-Outros operadores de instalações fixas e máquinas </t>
  </si>
  <si>
    <t xml:space="preserve">8181-Operadores de instalações do fabrico de vidro e produtos cerâmicos </t>
  </si>
  <si>
    <t>8181.1-Operador de instalações para o fabrico de vidro</t>
  </si>
  <si>
    <t xml:space="preserve">8181.2-Operador de instalações para o fabrico de produtos cerâmicos </t>
  </si>
  <si>
    <t>8182-Operador de máquinas a vapor e caldeiras</t>
  </si>
  <si>
    <t>8182.0-Operador de máquinas a vapor e caldeiras</t>
  </si>
  <si>
    <t>8183-Operador de máquinas de embalar, encher e rotular</t>
  </si>
  <si>
    <t>8183.0-Operador de máquinas de embalar, encher e rotular</t>
  </si>
  <si>
    <t>8189-Outros operadores de instalações fixas e de máquinas, n.e.</t>
  </si>
  <si>
    <t>8189.1-Operador de máquinas para corte, soldadura, isolamento, fabrico e enrolamento de cablagens</t>
  </si>
  <si>
    <t>8189.2-Operador de máquinas para fabrico de molas para estofos, colchões, veículos automóveis ou outros fins</t>
  </si>
  <si>
    <t>8189.3-Operador de máquinas para fabrico de produtos de arame</t>
  </si>
  <si>
    <t>8189.4-Outros operadores de instalações fixas e de máquinas, diversas, n.e</t>
  </si>
  <si>
    <t>82-Trabalhadores da montagem</t>
  </si>
  <si>
    <t>821-Trabalhadores da montagem</t>
  </si>
  <si>
    <t>8211-Montador de maquinaria mecânica</t>
  </si>
  <si>
    <t>8211.0-Montador de maquinaria mecânica</t>
  </si>
  <si>
    <t>8212-Montador de equipamentos eléctricos e electrónicos</t>
  </si>
  <si>
    <t>8212.0-Montador de equipamentos eléctricos e electrónicos</t>
  </si>
  <si>
    <t xml:space="preserve">8219-Outros trabalhadores da montagem </t>
  </si>
  <si>
    <t xml:space="preserve">8219.0-Outros trabalhadores da montagem </t>
  </si>
  <si>
    <t xml:space="preserve">83-Condutores de veículos e operadores de equipamentos móveis </t>
  </si>
  <si>
    <t>831-Maquinistas de locomotivas e similares</t>
  </si>
  <si>
    <t>8311-Maquinista de locomotivas</t>
  </si>
  <si>
    <t>8311.0-Maquinista de locomotivas</t>
  </si>
  <si>
    <t>8312-Guarda-freios, agulheiro e agente de manobras de caminhos-de-ferro</t>
  </si>
  <si>
    <t>8312.0-Guarda-freios, agulheiro e agente de manobras de caminhos-de-ferro</t>
  </si>
  <si>
    <t>832-Motoristas de automóveis ligeiros, de carrinhas e condutores de motociclos</t>
  </si>
  <si>
    <t>8321-Condutor de motociclos</t>
  </si>
  <si>
    <t>8321.0-Condutor de motociclos</t>
  </si>
  <si>
    <t xml:space="preserve">8322-Motoristas de automóveis ligeiros, táxis e carrinhas </t>
  </si>
  <si>
    <t>8322.1-Motorista de táxis</t>
  </si>
  <si>
    <t>8322.2-Motorista de automóveis ligeiros e carrinhas</t>
  </si>
  <si>
    <t xml:space="preserve">833-Motoristas de veículos pesados e de autocarros </t>
  </si>
  <si>
    <t xml:space="preserve">8331-Motoristas de autocarros e guarda-freios de eléctricos </t>
  </si>
  <si>
    <t>8331.1-Motorista de autocarros</t>
  </si>
  <si>
    <t>8331.2-Guarda-freio de eléctrico</t>
  </si>
  <si>
    <t>8332-Motorista de veículos pesados de mercadorias</t>
  </si>
  <si>
    <t>8332.0-Motorista de veículos pesados de mercadorias</t>
  </si>
  <si>
    <t xml:space="preserve">834-Operadores de equipamentos móveis </t>
  </si>
  <si>
    <t>8341-Operador de máquinas agrícolas e florestais, móveis</t>
  </si>
  <si>
    <t>8341.0-Operador de máquinas agrícolas e florestais, móveis</t>
  </si>
  <si>
    <t>8342-Operador de máquinas de escavação, terraplenagem e similares</t>
  </si>
  <si>
    <t>8342.0-Operador de máquinas de escavação, terraplenagem e similares</t>
  </si>
  <si>
    <t>8343-Operador de gruas, guindastes e similares</t>
  </si>
  <si>
    <t>8343.0-Operador de gruas, guindastes e similares</t>
  </si>
  <si>
    <t xml:space="preserve">8344-Operador de empilhadores </t>
  </si>
  <si>
    <t xml:space="preserve">8344.0-Operador de empilhadores </t>
  </si>
  <si>
    <t xml:space="preserve">835-Tripulação de convés de navios e similares </t>
  </si>
  <si>
    <t xml:space="preserve">8350-Tripulação de convés de navios e similares </t>
  </si>
  <si>
    <t xml:space="preserve">8350.0-Tripulação de convés de navios e similares </t>
  </si>
  <si>
    <t xml:space="preserve">9-Trabalhadores não qualificados </t>
  </si>
  <si>
    <t>91-Trabalhadores de limpeza</t>
  </si>
  <si>
    <t xml:space="preserve">911-Trabalhadores de limpeza em casas particulares, hotéis e escritórios </t>
  </si>
  <si>
    <t>9111-Trabalhador de limpeza em casas particulares</t>
  </si>
  <si>
    <t>9111.0-Trabalhador de limpeza em casas particulares</t>
  </si>
  <si>
    <t xml:space="preserve">9112-Trabalhador de limpeza em escritórios, hotéis e outros estabelecimentos </t>
  </si>
  <si>
    <t xml:space="preserve">9112.0-Trabalhador de limpeza em escritórios, hotéis e outros estabelecimentos </t>
  </si>
  <si>
    <t xml:space="preserve">912-Trabalhadores de limpeza de veículos, janelas, roupa e de outra limpeza manual </t>
  </si>
  <si>
    <t xml:space="preserve">9121-Lavadeiro e engomador de roupa </t>
  </si>
  <si>
    <t xml:space="preserve">9121.0-Lavadeiro e engomador de roupa </t>
  </si>
  <si>
    <t xml:space="preserve">9122-Lavador de veículos </t>
  </si>
  <si>
    <t xml:space="preserve">9122.0-Lavador de veículos </t>
  </si>
  <si>
    <t xml:space="preserve">9123-Lavador de janelas </t>
  </si>
  <si>
    <t xml:space="preserve">9123.0-Lavador de janelas </t>
  </si>
  <si>
    <t xml:space="preserve">9129-Outro trabalhador de limpeza manual </t>
  </si>
  <si>
    <t xml:space="preserve">9129.0-Outro trabalhador de limpeza manual </t>
  </si>
  <si>
    <t xml:space="preserve">92-Trabalhadores não qualificados da agricultura, produção animal, pesca e floresta </t>
  </si>
  <si>
    <t xml:space="preserve">921-Trabalhadores não qualificados da agricultura, produção animal, pesca e floresta </t>
  </si>
  <si>
    <t>9211-Trabalhador não qualificado da agricultura (exclui horticultura e floricultura)</t>
  </si>
  <si>
    <t>9211.0-Trabalhador não qualificado da agricultura (exclui horticultura e floricultura)</t>
  </si>
  <si>
    <t>9212-Trabalhador não qualificado da produção animal</t>
  </si>
  <si>
    <t>9212.0-Trabalhador não qualificado da produção animal</t>
  </si>
  <si>
    <t xml:space="preserve">9213-Trabalhador não qualificado da agricultura e produção animal combinadas </t>
  </si>
  <si>
    <t xml:space="preserve">9213.0-Trabalhador não qualificado da agricultura e produção animal combinadas </t>
  </si>
  <si>
    <t>9214-Trabalhador não qualificado da floricultura e horticultura</t>
  </si>
  <si>
    <t>9214.0-Trabalhador não qualificado da floricultura e horticultura</t>
  </si>
  <si>
    <t xml:space="preserve">9215-Trabalhador não qualificado da floresta </t>
  </si>
  <si>
    <t xml:space="preserve">9215.0-Trabalhador não qualificado da floresta </t>
  </si>
  <si>
    <t>9216-Trabalhadores não qualificados, da pesca e aquicultura</t>
  </si>
  <si>
    <t>9216.1-Trabalhador não qualificado da pesca</t>
  </si>
  <si>
    <t>9216.2-Trabalhador não qualificado da aquicultura</t>
  </si>
  <si>
    <t>93-Trabalhadores não qualificados da indústria extractiva, construção, indústria transformadora e transportes</t>
  </si>
  <si>
    <t>931-Trabalhadores não qualificados da indústria extractiva e construção</t>
  </si>
  <si>
    <t xml:space="preserve">9311-Trabalhadores não qualificados das minas e pedreiras </t>
  </si>
  <si>
    <t>9311.1-Trabalhador não qualificado das minas</t>
  </si>
  <si>
    <t>9311.2-Trabalhador não qualificado das pedreiras</t>
  </si>
  <si>
    <t xml:space="preserve">9312-Trabalhador não qualificado de engenharia civil </t>
  </si>
  <si>
    <t xml:space="preserve">9312.0-Trabalhador não qualificado de engenharia civil </t>
  </si>
  <si>
    <t xml:space="preserve">9313-Trabalhador não qualificado da construção de edifícios </t>
  </si>
  <si>
    <t xml:space="preserve">9313.0-Trabalhador não qualificado da construção de edifícios </t>
  </si>
  <si>
    <t xml:space="preserve">932-Trabalhadores não qualificados da indústria transformadora </t>
  </si>
  <si>
    <t>9321-Embalador manual da indústria transformadora</t>
  </si>
  <si>
    <t>9321.0-Embalador manual da indústria transformadora</t>
  </si>
  <si>
    <t>9329-Outros trabalhadores não qualificados da indústria transformador</t>
  </si>
  <si>
    <t>9329.0-Outros trabalhadores não qualificados da indústria transformadora</t>
  </si>
  <si>
    <t>933-Trabalhadores não qualificados de apoio, aos transportes e armazenagem</t>
  </si>
  <si>
    <t>9331-Condutor de veículos accionados à mão ou ao pé</t>
  </si>
  <si>
    <t>9331.0-Condutor de veículos accionados à mão ou ao pé</t>
  </si>
  <si>
    <t>9332-Condutor de veículos de tracção animal</t>
  </si>
  <si>
    <t>9332.0-Condutor de veículos de tracção animal</t>
  </si>
  <si>
    <t>9333-Carregadores e descarregadores não qualificados de mercadorias</t>
  </si>
  <si>
    <t>9333.0-Carregadores e descarregadores não qualificados de mercadorias</t>
  </si>
  <si>
    <t>9334-Repositor de produtos em prateleiras</t>
  </si>
  <si>
    <t>9334.0-Repositor de produtos em prateleiras</t>
  </si>
  <si>
    <t>94-Assistentes na preparação de refeições</t>
  </si>
  <si>
    <t>941-Assistentes na preparação de refeições</t>
  </si>
  <si>
    <t>9411-Preparador de refeições rápidas</t>
  </si>
  <si>
    <t>9411.0-Preparador de refeições rápidas</t>
  </si>
  <si>
    <t>9412-Ajudante de cozinha</t>
  </si>
  <si>
    <t>9412.0-Ajudante de cozinha</t>
  </si>
  <si>
    <t>95-Vendedores ambulantes (excepto de alimentos) e prestadores de serviços na rua</t>
  </si>
  <si>
    <t>951-Prestador de serviços na rua</t>
  </si>
  <si>
    <t>9510-Prestador de serviços na rua</t>
  </si>
  <si>
    <t>9510.0-Prestador de serviços na rua</t>
  </si>
  <si>
    <t xml:space="preserve">952-Vendedor ambulante (excepto de alimentos) </t>
  </si>
  <si>
    <t xml:space="preserve">9520-Vendedor ambulante (excepto de alimentos) </t>
  </si>
  <si>
    <t xml:space="preserve">9520.0-Vendedor ambulante (excepto de alimentos) </t>
  </si>
  <si>
    <t xml:space="preserve">96-Trabalhadores dos resíduos e de outros serviços elementares </t>
  </si>
  <si>
    <t xml:space="preserve">961-Trabalhadores da recuperação de resíduos </t>
  </si>
  <si>
    <t>9611-Trabalhador da recolha de resíduos</t>
  </si>
  <si>
    <t>9611.0-Trabalhador da recolha de resíduos</t>
  </si>
  <si>
    <t>9612-Trabalhador da triagem de resíduos</t>
  </si>
  <si>
    <t>9612.0-Trabalhador da triagem de resíduos</t>
  </si>
  <si>
    <t>9613-Cantoneiros de limpeza, empregados de lavabos e similares</t>
  </si>
  <si>
    <t>9613.1-Cantoneiro de limpeza</t>
  </si>
  <si>
    <t>9613.2-Empregado de lavabos e similares</t>
  </si>
  <si>
    <t>962-Outras profissões elementares</t>
  </si>
  <si>
    <t xml:space="preserve">9621-Estafetas, bagageiros e distribuidores </t>
  </si>
  <si>
    <t>9621.1-Estafeta</t>
  </si>
  <si>
    <t xml:space="preserve">9621.2-Bagageiro </t>
  </si>
  <si>
    <t>9621.3-Auxiliar de apoio administrativo (contínuo)</t>
  </si>
  <si>
    <t>9621.4-Distribuidor de mercadorias e similares</t>
  </si>
  <si>
    <t>9622-Trabalhadores polivalentes</t>
  </si>
  <si>
    <t xml:space="preserve">9622.1-Colocador de anúncios (montador de anúncios) </t>
  </si>
  <si>
    <t>9622.2-Outros trabalhadores polivalentes</t>
  </si>
  <si>
    <t>9623-Leitores de contadores e colectores de dinheiro, em máquinas de venda automática, parquímetros e similares</t>
  </si>
  <si>
    <t>9623.1-Leitor de contadores</t>
  </si>
  <si>
    <t>9623.2-Colector de dinheiro em máquinas de venda automática, parquímetros e similares</t>
  </si>
  <si>
    <t>9624-Carregador de água e apanhador de lenha</t>
  </si>
  <si>
    <t>9624.0-Carregador de água e apanhador de lenha</t>
  </si>
  <si>
    <t xml:space="preserve">9629-Outras profissões elementares, n.e. </t>
  </si>
  <si>
    <t>9629.1-Coveiro</t>
  </si>
  <si>
    <t>9629.2-Outras profissões elementares diversas, n.e.</t>
  </si>
  <si>
    <t>Permanente</t>
  </si>
  <si>
    <t>Temporária</t>
  </si>
  <si>
    <t>1 - Permanente</t>
  </si>
  <si>
    <t>2 - Temporária</t>
  </si>
  <si>
    <t>3 - Outro</t>
  </si>
  <si>
    <t>TD CPP</t>
  </si>
  <si>
    <t>5 - Qualificação de nível pós-secundário não superior com créditos para prosseguimento de estudos de nível superior e diploma de técnico superior profissional</t>
  </si>
  <si>
    <t>0111</t>
  </si>
  <si>
    <t>Oficiais da Marinha (NE)</t>
  </si>
  <si>
    <t>0112</t>
  </si>
  <si>
    <t>Oficiais do Exército (NE)</t>
  </si>
  <si>
    <t>0113</t>
  </si>
  <si>
    <t>Oficiais da Força Aérea (NE)</t>
  </si>
  <si>
    <t>0211</t>
  </si>
  <si>
    <t>Sargentos da Marinha (NE)</t>
  </si>
  <si>
    <t>0212</t>
  </si>
  <si>
    <t>Sargentos do Exército (NE)</t>
  </si>
  <si>
    <t>0213</t>
  </si>
  <si>
    <t>Sargentos da Força Aérea (NE)</t>
  </si>
  <si>
    <t>0311</t>
  </si>
  <si>
    <t>Praças da Marinha (NE)</t>
  </si>
  <si>
    <t>0312</t>
  </si>
  <si>
    <t>Praças do Exército (NE)</t>
  </si>
  <si>
    <t>0313</t>
  </si>
  <si>
    <t>Praças da Força Aérea (NE)</t>
  </si>
  <si>
    <t>1111</t>
  </si>
  <si>
    <t xml:space="preserve">Representantes do poder legislativo e de órgãos executivos </t>
  </si>
  <si>
    <t>1112</t>
  </si>
  <si>
    <t>Dirigente superior da Administração Pública</t>
  </si>
  <si>
    <t>1113</t>
  </si>
  <si>
    <t>Chefe tradicional e chefe de aldeia</t>
  </si>
  <si>
    <t>1114</t>
  </si>
  <si>
    <t xml:space="preserve">Dirigente de organizações de interesse especial </t>
  </si>
  <si>
    <t>1120</t>
  </si>
  <si>
    <t xml:space="preserve">Director geral e gestor executivo, de empresas </t>
  </si>
  <si>
    <t>1211</t>
  </si>
  <si>
    <t>Director financeiro</t>
  </si>
  <si>
    <t>1212</t>
  </si>
  <si>
    <t xml:space="preserve">Director de recursos humanos </t>
  </si>
  <si>
    <t>1213</t>
  </si>
  <si>
    <t xml:space="preserve">Directores de estratégia e planeamento </t>
  </si>
  <si>
    <t>1219</t>
  </si>
  <si>
    <t>Outros directores de serviços de negócios e de administração</t>
  </si>
  <si>
    <t>1221</t>
  </si>
  <si>
    <t>Directores de vendas e marketing</t>
  </si>
  <si>
    <t>1222</t>
  </si>
  <si>
    <t xml:space="preserve">Directores de publicidade e de relações públicas </t>
  </si>
  <si>
    <t>1223</t>
  </si>
  <si>
    <t>Directores de investigação e desenvolvimento</t>
  </si>
  <si>
    <t>1311</t>
  </si>
  <si>
    <t>Directores de produção na agricultura, produção animal e floresta</t>
  </si>
  <si>
    <t>1312</t>
  </si>
  <si>
    <t>Directores de produção na pesca e aquicultura</t>
  </si>
  <si>
    <t>1321</t>
  </si>
  <si>
    <t>Director das indústrias transformadoras</t>
  </si>
  <si>
    <t>1322</t>
  </si>
  <si>
    <t>Director das indústrias extractivas</t>
  </si>
  <si>
    <t>1323</t>
  </si>
  <si>
    <t>Director das indústrias de construção e de engenharia civil</t>
  </si>
  <si>
    <t>1324</t>
  </si>
  <si>
    <t>Directores de compras, transportes, armazenagem, distribuição e relacionados</t>
  </si>
  <si>
    <t>1330</t>
  </si>
  <si>
    <t>Directores dos serviços das tecnologias da informação e comunicação (TIC)</t>
  </si>
  <si>
    <t>1341</t>
  </si>
  <si>
    <t>Director dos serviços de cuidados de crianças</t>
  </si>
  <si>
    <t>1342</t>
  </si>
  <si>
    <t>Director dos serviços de saúde</t>
  </si>
  <si>
    <t>1343</t>
  </si>
  <si>
    <t>Director dos serviços de cuidados a pessoas idosas</t>
  </si>
  <si>
    <t>1344</t>
  </si>
  <si>
    <t xml:space="preserve">Director dos serviços de apoio social </t>
  </si>
  <si>
    <t>1345</t>
  </si>
  <si>
    <t>Director dos serviços de educação</t>
  </si>
  <si>
    <t>1346</t>
  </si>
  <si>
    <t>Director de sucursais de bancos, serviços financeiros e de seguros</t>
  </si>
  <si>
    <t>1349</t>
  </si>
  <si>
    <t>Directores de outros serviços especializados e profissionais com funções de comando, direcção ou chefia, das forças e serviços de segurança</t>
  </si>
  <si>
    <t>1411</t>
  </si>
  <si>
    <t>Director e gerente, de hotéis e similares</t>
  </si>
  <si>
    <t>1412</t>
  </si>
  <si>
    <t>Director e gerente de restauração (restaurantes e similares)</t>
  </si>
  <si>
    <t>1420</t>
  </si>
  <si>
    <t>Directores e gerentes, do comércio a retalho e por grosso</t>
  </si>
  <si>
    <t>1431</t>
  </si>
  <si>
    <t>Director e gerente dos centros desportivos, recreativos e culturais</t>
  </si>
  <si>
    <t>1439</t>
  </si>
  <si>
    <t xml:space="preserve">Director e gerente de outros serviços, n.e. </t>
  </si>
  <si>
    <t>2111</t>
  </si>
  <si>
    <t>Físicos e astrónomos</t>
  </si>
  <si>
    <t>2112</t>
  </si>
  <si>
    <t>Meteorologista</t>
  </si>
  <si>
    <t>2113</t>
  </si>
  <si>
    <t xml:space="preserve">Químico </t>
  </si>
  <si>
    <t>2114</t>
  </si>
  <si>
    <t xml:space="preserve">Geólogos, geofísicos e oceanógrafos </t>
  </si>
  <si>
    <t>2120</t>
  </si>
  <si>
    <t>Matemáticos, actuários, estaticistas e demógrafos</t>
  </si>
  <si>
    <t>2131</t>
  </si>
  <si>
    <t>Biólogos, botânicos, zoólogos e especialistas relacionados</t>
  </si>
  <si>
    <t>2132</t>
  </si>
  <si>
    <t xml:space="preserve">Engenheiros agrónomos, florestais e consultores das pescas </t>
  </si>
  <si>
    <t>2133</t>
  </si>
  <si>
    <t xml:space="preserve">Especialista da protecção do ambiente </t>
  </si>
  <si>
    <t>2141</t>
  </si>
  <si>
    <t>Engenheiro industrial e de produção</t>
  </si>
  <si>
    <t>2142</t>
  </si>
  <si>
    <t>Engenheiros civis</t>
  </si>
  <si>
    <t>2143</t>
  </si>
  <si>
    <t>Engenheiro do ambiente</t>
  </si>
  <si>
    <t>2144</t>
  </si>
  <si>
    <t>Engenheiro mecânico</t>
  </si>
  <si>
    <t>2145</t>
  </si>
  <si>
    <t xml:space="preserve">Engenheiro químico </t>
  </si>
  <si>
    <t>2146</t>
  </si>
  <si>
    <t>Engenheiros de minas, metalurgia e relacionados</t>
  </si>
  <si>
    <t>2149</t>
  </si>
  <si>
    <t xml:space="preserve">Outros especialistas em engenharia (excepto electrotecnologia) </t>
  </si>
  <si>
    <t>2151</t>
  </si>
  <si>
    <t>Engenheiro electrotécnico</t>
  </si>
  <si>
    <t>2152</t>
  </si>
  <si>
    <t>Engenheiro electrónico</t>
  </si>
  <si>
    <t>2153</t>
  </si>
  <si>
    <t>Engenheiro de telecomunicações</t>
  </si>
  <si>
    <t>2161</t>
  </si>
  <si>
    <t>Arquitecto de edifícios</t>
  </si>
  <si>
    <t>2162</t>
  </si>
  <si>
    <t xml:space="preserve">Arquitecto paisagista </t>
  </si>
  <si>
    <t>2163</t>
  </si>
  <si>
    <t xml:space="preserve">Designers de produto, têxteis, moda e de interiores </t>
  </si>
  <si>
    <t>2164</t>
  </si>
  <si>
    <t>Urbanista de cidade e tráfego</t>
  </si>
  <si>
    <t>2165</t>
  </si>
  <si>
    <t>Cartógrafo, agrimensor, topógrafo e similares</t>
  </si>
  <si>
    <t>2166</t>
  </si>
  <si>
    <t>Designer, gráfico ou de comunicação e multimédia</t>
  </si>
  <si>
    <t>2211</t>
  </si>
  <si>
    <t>Médicos generalistas</t>
  </si>
  <si>
    <t>2212</t>
  </si>
  <si>
    <t>Médicos especializados</t>
  </si>
  <si>
    <t>2221</t>
  </si>
  <si>
    <t>Enfermeiros e enfermeiros especialistas (excepto em saúde materna e obstétrica)</t>
  </si>
  <si>
    <t>2222</t>
  </si>
  <si>
    <t>Enfermeiro especialista em saúde materna e obstétrica</t>
  </si>
  <si>
    <t>2230</t>
  </si>
  <si>
    <t>Especialista em medicina tradicional e alternativa</t>
  </si>
  <si>
    <t>2240</t>
  </si>
  <si>
    <t>Profissional paramédico</t>
  </si>
  <si>
    <t>2250</t>
  </si>
  <si>
    <t xml:space="preserve">Veterinário </t>
  </si>
  <si>
    <t>2261</t>
  </si>
  <si>
    <t>Médicos dentistas e estomatologistas</t>
  </si>
  <si>
    <t>2262</t>
  </si>
  <si>
    <t xml:space="preserve">Farmacêutico </t>
  </si>
  <si>
    <t>2263</t>
  </si>
  <si>
    <t>Especialista em higiene e saúde, ambiental e laboral</t>
  </si>
  <si>
    <t>2264</t>
  </si>
  <si>
    <t xml:space="preserve">Fisioterapeuta </t>
  </si>
  <si>
    <t>2265</t>
  </si>
  <si>
    <t xml:space="preserve">Dietista e nutricionista </t>
  </si>
  <si>
    <t>2266</t>
  </si>
  <si>
    <t>Audiologistas e terapeutas da fala</t>
  </si>
  <si>
    <t>2267</t>
  </si>
  <si>
    <t>Optometrista e óptico oftálmico</t>
  </si>
  <si>
    <t>2269</t>
  </si>
  <si>
    <t xml:space="preserve">Outros profissionais da saúde, n.e. </t>
  </si>
  <si>
    <t>2310</t>
  </si>
  <si>
    <t>Professor dos ensinos universitário e superior</t>
  </si>
  <si>
    <t>2320</t>
  </si>
  <si>
    <t>Professor dos ensinos, tecnológico, artístico e profissional</t>
  </si>
  <si>
    <t>2330</t>
  </si>
  <si>
    <t>Professor dos ensinos básico (2º e 3º ciclos) e secundário</t>
  </si>
  <si>
    <t>2341</t>
  </si>
  <si>
    <t xml:space="preserve">Professor do ensino básico (1º ciclo) </t>
  </si>
  <si>
    <t>2342</t>
  </si>
  <si>
    <t xml:space="preserve">Educador de infância </t>
  </si>
  <si>
    <t>2351</t>
  </si>
  <si>
    <t xml:space="preserve">Especialista em métodos de ensino </t>
  </si>
  <si>
    <t>2352</t>
  </si>
  <si>
    <t>Professor do ensino especial</t>
  </si>
  <si>
    <t>2353</t>
  </si>
  <si>
    <t xml:space="preserve">Outros professores de línguas </t>
  </si>
  <si>
    <t>2354</t>
  </si>
  <si>
    <t>Outros professores de música</t>
  </si>
  <si>
    <t>2355</t>
  </si>
  <si>
    <t xml:space="preserve">Outros professores de arte </t>
  </si>
  <si>
    <t>2356</t>
  </si>
  <si>
    <t>Formador em tecnologias de informação</t>
  </si>
  <si>
    <t>2359</t>
  </si>
  <si>
    <t xml:space="preserve">Outros especialistas do ensino, n.e. </t>
  </si>
  <si>
    <t>2411</t>
  </si>
  <si>
    <t xml:space="preserve">Contabilista, auditor, revisor oficial de contas e similares </t>
  </si>
  <si>
    <t>2412</t>
  </si>
  <si>
    <t>Consultor financeiro e de investimentos</t>
  </si>
  <si>
    <t>2413</t>
  </si>
  <si>
    <t xml:space="preserve">Analista financeiro </t>
  </si>
  <si>
    <t>2421</t>
  </si>
  <si>
    <t xml:space="preserve">Analista em gestão e organização </t>
  </si>
  <si>
    <t>2422</t>
  </si>
  <si>
    <t>Especialista em políticas da administração</t>
  </si>
  <si>
    <t>2423</t>
  </si>
  <si>
    <t>Especialista em recursos humanos</t>
  </si>
  <si>
    <t>2424</t>
  </si>
  <si>
    <t>Especialista em formação e desenvolvimento de recursos humanos</t>
  </si>
  <si>
    <t>2431</t>
  </si>
  <si>
    <t xml:space="preserve">Especialista em publicidade e marketing </t>
  </si>
  <si>
    <t>2432</t>
  </si>
  <si>
    <t>Especialista em relações públicas</t>
  </si>
  <si>
    <t>2433</t>
  </si>
  <si>
    <t>Especialistas em vendas de material técnico e médico (excepto TIC)</t>
  </si>
  <si>
    <t>2434</t>
  </si>
  <si>
    <t>Especialista em vendas de tecnologias de informação e comunicação (TIC)</t>
  </si>
  <si>
    <t>2511</t>
  </si>
  <si>
    <t>Analista de sistemas</t>
  </si>
  <si>
    <t>2512</t>
  </si>
  <si>
    <t>Programador de software</t>
  </si>
  <si>
    <t>2513</t>
  </si>
  <si>
    <t xml:space="preserve">Programador Web e de multimédia </t>
  </si>
  <si>
    <t>2514</t>
  </si>
  <si>
    <t>Programador de aplicações</t>
  </si>
  <si>
    <t>2519</t>
  </si>
  <si>
    <t>Outros analistas e programadores, de software e aplicações</t>
  </si>
  <si>
    <t>2521</t>
  </si>
  <si>
    <t xml:space="preserve">Administrador e especialista de concepção de base de dados </t>
  </si>
  <si>
    <t>2522</t>
  </si>
  <si>
    <t xml:space="preserve">Administrador de sistemas </t>
  </si>
  <si>
    <t>2523</t>
  </si>
  <si>
    <t>Especialista de redes informáticas</t>
  </si>
  <si>
    <t>2529</t>
  </si>
  <si>
    <t>Outros especialistas em base de dados e redes</t>
  </si>
  <si>
    <t>2611</t>
  </si>
  <si>
    <t xml:space="preserve">Advogados e solicitadores  </t>
  </si>
  <si>
    <t>2612</t>
  </si>
  <si>
    <t>Magistrado (Judicial e do Ministério Público)</t>
  </si>
  <si>
    <t>2619</t>
  </si>
  <si>
    <t>Outros especialistas em assuntos jurídicos</t>
  </si>
  <si>
    <t>2621</t>
  </si>
  <si>
    <t>Arquivistas e curadores de museus</t>
  </si>
  <si>
    <t>2622</t>
  </si>
  <si>
    <t>Bibliotecários e outros especialistas de informação relacionados</t>
  </si>
  <si>
    <t>2631</t>
  </si>
  <si>
    <t xml:space="preserve">Economista </t>
  </si>
  <si>
    <t>2632</t>
  </si>
  <si>
    <t>Sociólogos, antropólogos e especialistas relacionados</t>
  </si>
  <si>
    <t>2633</t>
  </si>
  <si>
    <t xml:space="preserve">Filósofos, historiadores e especialistas de ciências políticas </t>
  </si>
  <si>
    <t>2634</t>
  </si>
  <si>
    <t xml:space="preserve">Psicólogo </t>
  </si>
  <si>
    <t>2635</t>
  </si>
  <si>
    <t xml:space="preserve">Especialista do trabalho social </t>
  </si>
  <si>
    <t>2636</t>
  </si>
  <si>
    <t xml:space="preserve">Ministro de culto </t>
  </si>
  <si>
    <t>2641</t>
  </si>
  <si>
    <t xml:space="preserve">Autor e escritor </t>
  </si>
  <si>
    <t>2642</t>
  </si>
  <si>
    <t xml:space="preserve">Jornalista </t>
  </si>
  <si>
    <t>2643</t>
  </si>
  <si>
    <t xml:space="preserve">Filólogos, tradutores, intérpretes e outros linguistas </t>
  </si>
  <si>
    <t>2651</t>
  </si>
  <si>
    <t>Artistas de artes visuais (plásticas)</t>
  </si>
  <si>
    <t>2652</t>
  </si>
  <si>
    <t xml:space="preserve">Compositores, músicos e cantores </t>
  </si>
  <si>
    <t>2653</t>
  </si>
  <si>
    <t xml:space="preserve">Bailarinos e coreógrafos </t>
  </si>
  <si>
    <t>2654</t>
  </si>
  <si>
    <t>Realizadores, encenadores, produtores e directores relacionados, de cinema, teatro, televisão e rádio</t>
  </si>
  <si>
    <t>2655</t>
  </si>
  <si>
    <t>Actor</t>
  </si>
  <si>
    <t>2656</t>
  </si>
  <si>
    <t>Locutor e apresentador, de rádio, de televisão e de outros meios de comunicação</t>
  </si>
  <si>
    <t>2659</t>
  </si>
  <si>
    <t>Outros artistas e intérpretes criativos das artes do espectáculo</t>
  </si>
  <si>
    <t>3111</t>
  </si>
  <si>
    <t>Técnicos das ciências físicas e químicas</t>
  </si>
  <si>
    <t>3112</t>
  </si>
  <si>
    <t xml:space="preserve">Técnico de engenharia civil </t>
  </si>
  <si>
    <t>3113</t>
  </si>
  <si>
    <t>Técnico de electricidade</t>
  </si>
  <si>
    <t>3114</t>
  </si>
  <si>
    <t xml:space="preserve">Técnico de electrónica </t>
  </si>
  <si>
    <t>3115</t>
  </si>
  <si>
    <t xml:space="preserve">Técnicos e inspectores de mecânica </t>
  </si>
  <si>
    <t>3116</t>
  </si>
  <si>
    <t>Técnico de química industrial</t>
  </si>
  <si>
    <t>3117</t>
  </si>
  <si>
    <t xml:space="preserve">Técnico da metalurgia de base e da indústria extractiva </t>
  </si>
  <si>
    <t>3118</t>
  </si>
  <si>
    <t>Desenhadores e técnicos afins</t>
  </si>
  <si>
    <t>3119</t>
  </si>
  <si>
    <t xml:space="preserve">Outros técnicos das ciências físicas e de engenharia </t>
  </si>
  <si>
    <t>3121</t>
  </si>
  <si>
    <t>Encarregado da indústria extractiva</t>
  </si>
  <si>
    <t>3122</t>
  </si>
  <si>
    <t>Encarregado da indústria transformadora</t>
  </si>
  <si>
    <t>3123</t>
  </si>
  <si>
    <t xml:space="preserve">Encarregado da construção </t>
  </si>
  <si>
    <t>3131</t>
  </si>
  <si>
    <t xml:space="preserve">Técnico de operação de instalações de produção de energia </t>
  </si>
  <si>
    <t>3132</t>
  </si>
  <si>
    <t xml:space="preserve">Técnicos de operação de incineradores e de instalações de tratamento de água </t>
  </si>
  <si>
    <t>3133</t>
  </si>
  <si>
    <t>Técnico de controlo de instalações da indústria química</t>
  </si>
  <si>
    <t>3134</t>
  </si>
  <si>
    <t xml:space="preserve">Técnico de operação de instalações de refinação de petróleo e gás natural </t>
  </si>
  <si>
    <t>3135</t>
  </si>
  <si>
    <t xml:space="preserve">Técnico de controlo de instalações de produção de metais </t>
  </si>
  <si>
    <t>3139</t>
  </si>
  <si>
    <t>Outros técnicos de controlo de processos industriais</t>
  </si>
  <si>
    <t>3141</t>
  </si>
  <si>
    <t>Técnico das ciências da vida (excepto ciências médicas)</t>
  </si>
  <si>
    <t>3142</t>
  </si>
  <si>
    <t>Técnicos da agricultura e da produção animal</t>
  </si>
  <si>
    <t>3143</t>
  </si>
  <si>
    <t>Técnico florestal (inclui cinegético)</t>
  </si>
  <si>
    <t>3151</t>
  </si>
  <si>
    <t>Oficial maquinista de navios</t>
  </si>
  <si>
    <t>3152</t>
  </si>
  <si>
    <t>Oficial de convés e piloto de navios</t>
  </si>
  <si>
    <t>3153</t>
  </si>
  <si>
    <t>Piloto de aeronaves</t>
  </si>
  <si>
    <t>3154</t>
  </si>
  <si>
    <t>Controlador de tráfego aéreo</t>
  </si>
  <si>
    <t>3155</t>
  </si>
  <si>
    <t xml:space="preserve">Técnico de segurança de sistemas electrónicos aeronáuticos </t>
  </si>
  <si>
    <t>3211</t>
  </si>
  <si>
    <t>Técnico de equipamento de diagnóstico e terapêutico</t>
  </si>
  <si>
    <t>3212</t>
  </si>
  <si>
    <t>Técnicos de laboratório de anatomia patológica e medicina</t>
  </si>
  <si>
    <t>3213</t>
  </si>
  <si>
    <t xml:space="preserve">Técnicos e assistentes farmacêuticos </t>
  </si>
  <si>
    <t>3214</t>
  </si>
  <si>
    <t>Técnico de próteses médicas e dentárias</t>
  </si>
  <si>
    <t>3221</t>
  </si>
  <si>
    <t xml:space="preserve">Auxiliar de enfermagem </t>
  </si>
  <si>
    <t>3222</t>
  </si>
  <si>
    <t>Parteira</t>
  </si>
  <si>
    <t>3230</t>
  </si>
  <si>
    <t>Profissionais de nível intermédio da medicina tradicional e complementar</t>
  </si>
  <si>
    <t>3240</t>
  </si>
  <si>
    <t>Técnico e assistente de veterinários</t>
  </si>
  <si>
    <t>3251</t>
  </si>
  <si>
    <t xml:space="preserve">Terapeuta e assistente dentário </t>
  </si>
  <si>
    <t>3252</t>
  </si>
  <si>
    <t>Técnico de registos médicos e de informação sobre saúde</t>
  </si>
  <si>
    <t>3253</t>
  </si>
  <si>
    <t>Técnico dos serviços de saúde comunitária</t>
  </si>
  <si>
    <t>3254</t>
  </si>
  <si>
    <t>Técnicos de óptica ocular e de contactologia</t>
  </si>
  <si>
    <t>3255</t>
  </si>
  <si>
    <t>Técnico e assistente, de fisioterapia e similares</t>
  </si>
  <si>
    <t>3256</t>
  </si>
  <si>
    <t xml:space="preserve">Assistente de médicos </t>
  </si>
  <si>
    <t>3257</t>
  </si>
  <si>
    <t>Inspectores e técnicos, da saúde, do trabalho e ambiente</t>
  </si>
  <si>
    <t>3258</t>
  </si>
  <si>
    <t>Pessoal de ambulâncias</t>
  </si>
  <si>
    <t>3259</t>
  </si>
  <si>
    <t>Outros profissionais de nível intermédio da saúde, n.e.</t>
  </si>
  <si>
    <t>3311</t>
  </si>
  <si>
    <t>Corretor de bolsa, cambista e similares</t>
  </si>
  <si>
    <t>3312</t>
  </si>
  <si>
    <t xml:space="preserve">Agentes de crédito e empréstimos </t>
  </si>
  <si>
    <t>3313</t>
  </si>
  <si>
    <t>Técnicos administrativos de contabilidade</t>
  </si>
  <si>
    <t>3314</t>
  </si>
  <si>
    <t>Técnicos de nível intermédio, de estatística, matemática e similares</t>
  </si>
  <si>
    <t>3315</t>
  </si>
  <si>
    <t xml:space="preserve">Avaliador de imóveis, seguros e outros bens  </t>
  </si>
  <si>
    <t>3321</t>
  </si>
  <si>
    <t xml:space="preserve">Agente de seguros </t>
  </si>
  <si>
    <t>3322</t>
  </si>
  <si>
    <t xml:space="preserve">Representante comercial </t>
  </si>
  <si>
    <t>3323</t>
  </si>
  <si>
    <t>Técnico de compras</t>
  </si>
  <si>
    <t>3324</t>
  </si>
  <si>
    <t xml:space="preserve">Corretor comercial </t>
  </si>
  <si>
    <t>3331</t>
  </si>
  <si>
    <t>Despachante, transitário e similares</t>
  </si>
  <si>
    <t>3332</t>
  </si>
  <si>
    <t>Organizador de conferências e eventos</t>
  </si>
  <si>
    <t>3333</t>
  </si>
  <si>
    <t xml:space="preserve">Técnico da área do emprego </t>
  </si>
  <si>
    <t>3334</t>
  </si>
  <si>
    <t xml:space="preserve">Agente imobiliário e gestor de propriedades </t>
  </si>
  <si>
    <t>3339</t>
  </si>
  <si>
    <t xml:space="preserve">Outros agentes de negócios </t>
  </si>
  <si>
    <t>3341</t>
  </si>
  <si>
    <t xml:space="preserve">Supervisor de pessoal administrativo </t>
  </si>
  <si>
    <t>3342</t>
  </si>
  <si>
    <t>Secretário da área jurídica</t>
  </si>
  <si>
    <t>3343</t>
  </si>
  <si>
    <t>Secretário administrativo e executivo</t>
  </si>
  <si>
    <t>3344</t>
  </si>
  <si>
    <t xml:space="preserve">Secretário da área da medicina </t>
  </si>
  <si>
    <t>3351</t>
  </si>
  <si>
    <t>Inspector de alfândega e de fronteira</t>
  </si>
  <si>
    <t>3352</t>
  </si>
  <si>
    <t xml:space="preserve">Agente da administração tributária </t>
  </si>
  <si>
    <t>3353</t>
  </si>
  <si>
    <t xml:space="preserve">Agente de serviços da segurança social </t>
  </si>
  <si>
    <t>3354</t>
  </si>
  <si>
    <t xml:space="preserve">Agente de serviços de licenciamento </t>
  </si>
  <si>
    <t>3355</t>
  </si>
  <si>
    <t>Inspector e detective da polícia</t>
  </si>
  <si>
    <t>3359</t>
  </si>
  <si>
    <t>Outros agentes de nível intermédio da Administração Pública, para aplicação da lei e similares</t>
  </si>
  <si>
    <t>3411</t>
  </si>
  <si>
    <t xml:space="preserve">Técnico de nível intermédio dos serviços jurídicos e relacionados </t>
  </si>
  <si>
    <t>3412</t>
  </si>
  <si>
    <t>Técnico de nível intermédio de apoio social</t>
  </si>
  <si>
    <t>3413</t>
  </si>
  <si>
    <t>Membro de ordem religiosa e técnicos de apoio religioso</t>
  </si>
  <si>
    <t>3421</t>
  </si>
  <si>
    <t xml:space="preserve">Atletas e desportistas de competição </t>
  </si>
  <si>
    <t>3422</t>
  </si>
  <si>
    <t>Treinadores, instrutores e árbitros, de desportos</t>
  </si>
  <si>
    <t>3423</t>
  </si>
  <si>
    <t xml:space="preserve">Instrutores e monitores de actividade física e recreação </t>
  </si>
  <si>
    <t>3431</t>
  </si>
  <si>
    <t>Fotógrafo</t>
  </si>
  <si>
    <t>3432</t>
  </si>
  <si>
    <t>Decorador</t>
  </si>
  <si>
    <t>3433</t>
  </si>
  <si>
    <t>Técnicos de galerias, bibliotecas, arquivos e museus</t>
  </si>
  <si>
    <t>3434</t>
  </si>
  <si>
    <t>Chefe de cozinha</t>
  </si>
  <si>
    <t>3435</t>
  </si>
  <si>
    <t>Outros técnicos de nível intermédio das actividades culturais e artísticas</t>
  </si>
  <si>
    <t>3511</t>
  </si>
  <si>
    <t xml:space="preserve">Técnico operador das tecnologias de informação e comunicação (TIC) </t>
  </si>
  <si>
    <t>3512</t>
  </si>
  <si>
    <t>Técnico de apoio aos utilizadores das tecnologias da informação e comunicação (TIC)</t>
  </si>
  <si>
    <t>3513</t>
  </si>
  <si>
    <t>Técnico em redes e sistemas de computadores</t>
  </si>
  <si>
    <t>3514</t>
  </si>
  <si>
    <t>Técnico da Web</t>
  </si>
  <si>
    <t>3521</t>
  </si>
  <si>
    <t xml:space="preserve">Técnicos de emissões de rádio e televisão e de gravação audiovisual e de sistemas de comunicações via rádio </t>
  </si>
  <si>
    <t>3522</t>
  </si>
  <si>
    <t>Técnico de telecomunicações</t>
  </si>
  <si>
    <t>4110</t>
  </si>
  <si>
    <t>Empregado de escritório em geral</t>
  </si>
  <si>
    <t>4120</t>
  </si>
  <si>
    <t>Técnico de secretariado</t>
  </si>
  <si>
    <t>4131</t>
  </si>
  <si>
    <t>Dactilógrafo e operador de processamento de texto</t>
  </si>
  <si>
    <t>4132</t>
  </si>
  <si>
    <t>Operador de registo de dados</t>
  </si>
  <si>
    <t>4211</t>
  </si>
  <si>
    <t>Caixa bancário e similar</t>
  </si>
  <si>
    <t>4212</t>
  </si>
  <si>
    <t>Empregado de banca nos casinos e outros empregados de apostas</t>
  </si>
  <si>
    <t>4213</t>
  </si>
  <si>
    <t xml:space="preserve">Penhorista e prestamista </t>
  </si>
  <si>
    <t>4214</t>
  </si>
  <si>
    <t>Cobrador de facturas e similares</t>
  </si>
  <si>
    <t>4221</t>
  </si>
  <si>
    <t xml:space="preserve">Empregado das agências de viagens </t>
  </si>
  <si>
    <t>4222</t>
  </si>
  <si>
    <t>Empregado dos centros de chamadas</t>
  </si>
  <si>
    <t>4223</t>
  </si>
  <si>
    <t>Operador de central telefónica</t>
  </si>
  <si>
    <t>4224</t>
  </si>
  <si>
    <t xml:space="preserve">Recepcionista de hotel  </t>
  </si>
  <si>
    <t>4225</t>
  </si>
  <si>
    <t>Pessoal de informação administrativa</t>
  </si>
  <si>
    <t>4226</t>
  </si>
  <si>
    <t xml:space="preserve">Recepcionista, excepto de hotel </t>
  </si>
  <si>
    <t>4227</t>
  </si>
  <si>
    <t>Entrevistador de inquéritos e de estudos de mercado</t>
  </si>
  <si>
    <t>4229</t>
  </si>
  <si>
    <t xml:space="preserve">Outro pessoal de recepção e de informação a clientes </t>
  </si>
  <si>
    <t>4311</t>
  </si>
  <si>
    <t>Operador de contabilidade e escrituração comercial</t>
  </si>
  <si>
    <t>4312</t>
  </si>
  <si>
    <t>Operador dos serviços de estatística, financeiros e seguros</t>
  </si>
  <si>
    <t>4313</t>
  </si>
  <si>
    <t xml:space="preserve">Operador de dados de processamento de pagamentos </t>
  </si>
  <si>
    <t>4321</t>
  </si>
  <si>
    <t xml:space="preserve">Empregados de aprovisionamento e armazém </t>
  </si>
  <si>
    <t>4322</t>
  </si>
  <si>
    <t>Empregado de serviços de apoio à produção</t>
  </si>
  <si>
    <t>4323</t>
  </si>
  <si>
    <t>Empregado de controlo de registo dos serviços de transporte</t>
  </si>
  <si>
    <t>4411</t>
  </si>
  <si>
    <t xml:space="preserve">Empregado de biblioteca </t>
  </si>
  <si>
    <t>4412</t>
  </si>
  <si>
    <t>Carteiro e similares</t>
  </si>
  <si>
    <t>4413</t>
  </si>
  <si>
    <t>Codificador, revisor de provas e similares</t>
  </si>
  <si>
    <t>4414</t>
  </si>
  <si>
    <t>Escrivão e similares</t>
  </si>
  <si>
    <t>4415</t>
  </si>
  <si>
    <t xml:space="preserve">Classificador arquivista </t>
  </si>
  <si>
    <t>4416</t>
  </si>
  <si>
    <t>Empregado de serviço de pessoal</t>
  </si>
  <si>
    <t>4419</t>
  </si>
  <si>
    <t xml:space="preserve">Outro pessoal de apoio de tipo administrativo, n.e. </t>
  </si>
  <si>
    <t>5111</t>
  </si>
  <si>
    <t xml:space="preserve">Assistentes de viagem e comissários </t>
  </si>
  <si>
    <t>5112</t>
  </si>
  <si>
    <t>Fiscal e cobrador de transportes públicos</t>
  </si>
  <si>
    <t>5113</t>
  </si>
  <si>
    <t xml:space="preserve">Guia intérprete  </t>
  </si>
  <si>
    <t>5120</t>
  </si>
  <si>
    <t xml:space="preserve">Cozinheiro </t>
  </si>
  <si>
    <t>5131</t>
  </si>
  <si>
    <t xml:space="preserve">Empregado de mesa </t>
  </si>
  <si>
    <t>5132</t>
  </si>
  <si>
    <t>Empregado de bar</t>
  </si>
  <si>
    <t>5141</t>
  </si>
  <si>
    <t>Cabeleireiro e barbeiro</t>
  </si>
  <si>
    <t>5142</t>
  </si>
  <si>
    <t xml:space="preserve">Esteticistas e trabalhadores similares </t>
  </si>
  <si>
    <t>5151</t>
  </si>
  <si>
    <t>Encarregado de limpeza e de trabalhos domésticos em escritórios, hotéis e outros estabelecimentos</t>
  </si>
  <si>
    <t>5152</t>
  </si>
  <si>
    <t>Governante doméstico</t>
  </si>
  <si>
    <t>5153</t>
  </si>
  <si>
    <t>Porteiro de edifícios</t>
  </si>
  <si>
    <t>5161</t>
  </si>
  <si>
    <t>Astrólogos, adivinhadores e similares</t>
  </si>
  <si>
    <t>5162</t>
  </si>
  <si>
    <t>Pessoal de companhia e ajudantes de quarto</t>
  </si>
  <si>
    <t>5163</t>
  </si>
  <si>
    <t>Agentes funerários e embalsamadores</t>
  </si>
  <si>
    <t>5164</t>
  </si>
  <si>
    <t xml:space="preserve">Prestador de cuidados a animais </t>
  </si>
  <si>
    <t>5165</t>
  </si>
  <si>
    <t>Instrutor de condução</t>
  </si>
  <si>
    <t>5169</t>
  </si>
  <si>
    <t>Outros trabalhadores dos serviços pessoais, n.e.</t>
  </si>
  <si>
    <t>5211</t>
  </si>
  <si>
    <t xml:space="preserve">Vendedor em quiosque e em mercados  </t>
  </si>
  <si>
    <t>5212</t>
  </si>
  <si>
    <t>Vendedor ambulante de produtos alimentares</t>
  </si>
  <si>
    <t>5221</t>
  </si>
  <si>
    <t>Comerciante de loja (estabelecimento)</t>
  </si>
  <si>
    <t>5222</t>
  </si>
  <si>
    <t>Encarregado de loja (estabelecimento)</t>
  </si>
  <si>
    <t>5223</t>
  </si>
  <si>
    <t>Vendedor em loja (estabelecimento)</t>
  </si>
  <si>
    <t>5230</t>
  </si>
  <si>
    <t>Operadores de caixa e venda de bilhetes</t>
  </si>
  <si>
    <t>5241</t>
  </si>
  <si>
    <t xml:space="preserve">Manequim e outros modelos </t>
  </si>
  <si>
    <t>5242</t>
  </si>
  <si>
    <t>Demonstrador</t>
  </si>
  <si>
    <t>5243</t>
  </si>
  <si>
    <t xml:space="preserve">Vendedor ao domicílio </t>
  </si>
  <si>
    <t>5244</t>
  </si>
  <si>
    <t>Vendedor de centros de contacto</t>
  </si>
  <si>
    <t>5245</t>
  </si>
  <si>
    <t xml:space="preserve">Assistente de estação de serviço ao condutor </t>
  </si>
  <si>
    <t>5246</t>
  </si>
  <si>
    <t>Assistente de venda de alimentos ao balcão</t>
  </si>
  <si>
    <t>5249</t>
  </si>
  <si>
    <t xml:space="preserve">Outros trabalhadores relacionados com vendas, n.e. </t>
  </si>
  <si>
    <t>5311</t>
  </si>
  <si>
    <t>Auxiliar de cuidados de crianças</t>
  </si>
  <si>
    <t>5312</t>
  </si>
  <si>
    <t>Auxiliar de professor</t>
  </si>
  <si>
    <t>5321</t>
  </si>
  <si>
    <t>Auxiliar de saúde</t>
  </si>
  <si>
    <t>5322</t>
  </si>
  <si>
    <t>Ajudante familiar</t>
  </si>
  <si>
    <t>5329</t>
  </si>
  <si>
    <t>Outros trabalhadores dos cuidados pessoais e similares nos serviços de saúde</t>
  </si>
  <si>
    <t>5411</t>
  </si>
  <si>
    <t>Bombeiro</t>
  </si>
  <si>
    <t>5412</t>
  </si>
  <si>
    <t>Agentes da PSP,  Polícia Marítima, Polícia Municipal, sargentos e guardas da GNR</t>
  </si>
  <si>
    <t>5413</t>
  </si>
  <si>
    <t xml:space="preserve">Guarda dos serviços prisionais </t>
  </si>
  <si>
    <t>5414</t>
  </si>
  <si>
    <t>Segurança (vigilante privado), porteiros e similares</t>
  </si>
  <si>
    <t>5419</t>
  </si>
  <si>
    <t xml:space="preserve">Outro pessoal dos serviços de protecção e segurança </t>
  </si>
  <si>
    <t>6111</t>
  </si>
  <si>
    <t>Agricultor e trabalhador qualificado de cereais e outras culturas extensivas</t>
  </si>
  <si>
    <t>6112</t>
  </si>
  <si>
    <t xml:space="preserve">Agricultor e trabalhador qualificado de culturas de árvores e arbustos </t>
  </si>
  <si>
    <t>6113</t>
  </si>
  <si>
    <t xml:space="preserve">Agricultor e trabalhador qualificado, da horticultura, floricultura, de viveiros e jardins </t>
  </si>
  <si>
    <t>6114</t>
  </si>
  <si>
    <t>Agricultor e trabalhador qualificado de culturas agrícolas mistas</t>
  </si>
  <si>
    <t>6121</t>
  </si>
  <si>
    <t xml:space="preserve">Produtores e trabalhadores qualificados na produção animal de carne e de leite </t>
  </si>
  <si>
    <t>6122</t>
  </si>
  <si>
    <t xml:space="preserve">Avicultor e trabalhador qualificado da avicultura </t>
  </si>
  <si>
    <t>6123</t>
  </si>
  <si>
    <t>Apicultor e sericicultor</t>
  </si>
  <si>
    <t>6129</t>
  </si>
  <si>
    <t>Outros produtores e trabalhadores qualificados da criação animal</t>
  </si>
  <si>
    <t>6130</t>
  </si>
  <si>
    <t xml:space="preserve">Agricultor e trabalhador qualificado da agricultura e produção animal combinadas, orientados para o mercado </t>
  </si>
  <si>
    <t>6210</t>
  </si>
  <si>
    <t>Trabalhadores qualificados da floresta e similares</t>
  </si>
  <si>
    <t>6221</t>
  </si>
  <si>
    <t xml:space="preserve">Aquicultores (aquacultores) e trabalhadores qualificados da aquicultura </t>
  </si>
  <si>
    <t>6222</t>
  </si>
  <si>
    <t>Pescadores e trabalhadores qualificados da pesca em águas costeiras e interiores</t>
  </si>
  <si>
    <t>6223</t>
  </si>
  <si>
    <t>Pescadores e trabalhadores qualificados da pesca do largo (alto mar)</t>
  </si>
  <si>
    <t>6224</t>
  </si>
  <si>
    <t>Caçador qualificado (inclui com armadilhas) orientado para o mercado</t>
  </si>
  <si>
    <t>6310</t>
  </si>
  <si>
    <t xml:space="preserve">Agricultor de subsistência </t>
  </si>
  <si>
    <t>6320</t>
  </si>
  <si>
    <t>Criador de animais de subsistência</t>
  </si>
  <si>
    <t>6330</t>
  </si>
  <si>
    <t xml:space="preserve">Agricultor e criador de animais de produção combinada, de subsistência </t>
  </si>
  <si>
    <t>6340</t>
  </si>
  <si>
    <t>Pescador, caçador e colector, de subsistência</t>
  </si>
  <si>
    <t>7111</t>
  </si>
  <si>
    <t>Construtor de casas rudimentares</t>
  </si>
  <si>
    <t>7112</t>
  </si>
  <si>
    <t xml:space="preserve">Pedreiro, calceteiro e assentador de refractários </t>
  </si>
  <si>
    <t>7113</t>
  </si>
  <si>
    <t xml:space="preserve">Trabalhadores da pedra, canteiros e similares </t>
  </si>
  <si>
    <t>7114</t>
  </si>
  <si>
    <t>Trabalhadores de betão armado e similares</t>
  </si>
  <si>
    <t>7115</t>
  </si>
  <si>
    <t>Carpinteiros e similares</t>
  </si>
  <si>
    <t>7119</t>
  </si>
  <si>
    <t>Outros trabalhadores qualificados da construção das estruturas básicas e similares</t>
  </si>
  <si>
    <t>7121</t>
  </si>
  <si>
    <t xml:space="preserve">Colocador de telhados e de coberturas </t>
  </si>
  <si>
    <t>7122</t>
  </si>
  <si>
    <t>Assentadores de revestimentos e ladrilhadores</t>
  </si>
  <si>
    <t>7123</t>
  </si>
  <si>
    <t>Estucador</t>
  </si>
  <si>
    <t>7124</t>
  </si>
  <si>
    <t>Trabalhador qualificado em isolamentos acústicos e térmicos</t>
  </si>
  <si>
    <t>7125</t>
  </si>
  <si>
    <t xml:space="preserve">Vidraceiro </t>
  </si>
  <si>
    <t>7126</t>
  </si>
  <si>
    <t>Canalizador e montador de tubagens</t>
  </si>
  <si>
    <t>7127</t>
  </si>
  <si>
    <t>Instalador de ar condicionado e de sistemas de refrigeração</t>
  </si>
  <si>
    <t>7131</t>
  </si>
  <si>
    <t>Pintores de construções e trabalhadores similares</t>
  </si>
  <si>
    <t>7132</t>
  </si>
  <si>
    <t>Pintores à pistola e envernizadores</t>
  </si>
  <si>
    <t>7133</t>
  </si>
  <si>
    <t>Limpadores de fachadas e de outras estruturas de edifícios</t>
  </si>
  <si>
    <t>7211</t>
  </si>
  <si>
    <t>Operador de fundição</t>
  </si>
  <si>
    <t>7212</t>
  </si>
  <si>
    <t>Soldadores e trabalhadores de corte a oxi-gás</t>
  </si>
  <si>
    <t>7213</t>
  </si>
  <si>
    <t>Trabalhadores de chapas metálicas</t>
  </si>
  <si>
    <t>7214</t>
  </si>
  <si>
    <t>Preparador e montador de estruturas metálicas</t>
  </si>
  <si>
    <t>7215</t>
  </si>
  <si>
    <t>Armador e montador de cabos metálicos</t>
  </si>
  <si>
    <t>7221</t>
  </si>
  <si>
    <t>Forjadores, ferreiros, operadores de prensas de forjar, estampadores e similares</t>
  </si>
  <si>
    <t>7222</t>
  </si>
  <si>
    <t xml:space="preserve">Serralheiro de moldes, cunhos, cortantes e similares </t>
  </si>
  <si>
    <t>7223</t>
  </si>
  <si>
    <t>Reguladores e operadores de máquinas-ferramentas para trabalhar metais</t>
  </si>
  <si>
    <t>7224</t>
  </si>
  <si>
    <t xml:space="preserve">Rectificador de rodas, polidor e afiador de metais </t>
  </si>
  <si>
    <t>7231</t>
  </si>
  <si>
    <t>Mecânico e reparador de veículos automóveis</t>
  </si>
  <si>
    <t>7232</t>
  </si>
  <si>
    <t xml:space="preserve">Técnico de manutenção e reparação de motores de avião </t>
  </si>
  <si>
    <t>7233</t>
  </si>
  <si>
    <t xml:space="preserve">Mecânico e reparador, de máquinas agrícolas e industriais </t>
  </si>
  <si>
    <t>7234</t>
  </si>
  <si>
    <t>Reparador de bicicletas e similares</t>
  </si>
  <si>
    <t>7311</t>
  </si>
  <si>
    <t>Trabalhador qualificado do fabrico e reparação de instrumentos de precisão</t>
  </si>
  <si>
    <t>7312</t>
  </si>
  <si>
    <t>Trabalhador qualificado do fabrico e afinação de instrumentos musicais</t>
  </si>
  <si>
    <t>7313</t>
  </si>
  <si>
    <t>Joalheiros, ourives e trabalhadores de diamantes industriais</t>
  </si>
  <si>
    <t>7314</t>
  </si>
  <si>
    <t xml:space="preserve">Oleiros e similares </t>
  </si>
  <si>
    <t>7315</t>
  </si>
  <si>
    <t xml:space="preserve">Sopradores, cortadores, polidores e acabadores, de vidro </t>
  </si>
  <si>
    <t>7316</t>
  </si>
  <si>
    <t xml:space="preserve">Lapidadores, gravadores e pintores-decoradores, de vidro, cerâmica e outros materiais </t>
  </si>
  <si>
    <t>7317</t>
  </si>
  <si>
    <t xml:space="preserve">Artesãos de artigos em madeira, cestaria e materiais similares                                                                                                                                                                                                 </t>
  </si>
  <si>
    <t>7318</t>
  </si>
  <si>
    <t xml:space="preserve">Trabalhadores manuais de artigos têxteis, couro e materiais similares </t>
  </si>
  <si>
    <t>7319</t>
  </si>
  <si>
    <t>Outros trabalhadores qualificados do fabrico de instrumentos de precisão, artesãos e similares</t>
  </si>
  <si>
    <t>7321</t>
  </si>
  <si>
    <t>Operador de pré-impressão</t>
  </si>
  <si>
    <t>7322</t>
  </si>
  <si>
    <t>Serígrafo e outros operadores de impressão</t>
  </si>
  <si>
    <t>7323</t>
  </si>
  <si>
    <t>Encadernadores e similares</t>
  </si>
  <si>
    <t>7411</t>
  </si>
  <si>
    <t xml:space="preserve">Electricista de construções e similares </t>
  </si>
  <si>
    <t>7412</t>
  </si>
  <si>
    <t xml:space="preserve">Electromecânico, electricista e instalador de máquinas e equipamentos eléctricos </t>
  </si>
  <si>
    <t>7413</t>
  </si>
  <si>
    <t>Instalador e reparador de linhas eléctricas</t>
  </si>
  <si>
    <t>7421</t>
  </si>
  <si>
    <t xml:space="preserve">Mecânico e reparador de equipamentos electrónicos </t>
  </si>
  <si>
    <t>7422</t>
  </si>
  <si>
    <t xml:space="preserve">Instalador e reparador, de tecnologias de informação e comunicação  </t>
  </si>
  <si>
    <t>7511</t>
  </si>
  <si>
    <t>Preparadores de carne, peixe e similares</t>
  </si>
  <si>
    <t>7512</t>
  </si>
  <si>
    <t>Padeiros, pasteleiros e confeiteiros</t>
  </si>
  <si>
    <t>7513</t>
  </si>
  <si>
    <t xml:space="preserve">Trabalhador do fabrico de produtos lácteos </t>
  </si>
  <si>
    <t>7514</t>
  </si>
  <si>
    <t>Conserveiro de frutas, legumes e similares</t>
  </si>
  <si>
    <t>7515</t>
  </si>
  <si>
    <t>Provadores e classificadores, de alimentos e bebidas</t>
  </si>
  <si>
    <t>7516</t>
  </si>
  <si>
    <t xml:space="preserve">Preparador e transformador, de tabaco e seus produtos </t>
  </si>
  <si>
    <t>7521</t>
  </si>
  <si>
    <t>Trabalhadores do tratamento da madeira e cortiça</t>
  </si>
  <si>
    <t>7522</t>
  </si>
  <si>
    <t xml:space="preserve">Marceneiros e similares </t>
  </si>
  <si>
    <t>7523</t>
  </si>
  <si>
    <t>Operador de máquinas e de equipamentos para trabalhar madeira e cortiça</t>
  </si>
  <si>
    <t>7531</t>
  </si>
  <si>
    <t xml:space="preserve">Alfaiates, costureiros, peleiros e chapeleiros   </t>
  </si>
  <si>
    <t>7532</t>
  </si>
  <si>
    <t xml:space="preserve">Riscador de moldes e cortadores, de tecido, couro e similares </t>
  </si>
  <si>
    <t>7533</t>
  </si>
  <si>
    <t xml:space="preserve">Trabalhadores de costura, bordados e similares </t>
  </si>
  <si>
    <t>7534</t>
  </si>
  <si>
    <t>Estofadores e similares</t>
  </si>
  <si>
    <t>7535</t>
  </si>
  <si>
    <t xml:space="preserve">Curtidores, preparadores e acabadores, de peles </t>
  </si>
  <si>
    <t>7536</t>
  </si>
  <si>
    <t>Sapateiros e similares</t>
  </si>
  <si>
    <t>7541</t>
  </si>
  <si>
    <t xml:space="preserve">Mergulhador </t>
  </si>
  <si>
    <t>7542</t>
  </si>
  <si>
    <t xml:space="preserve">Carregador de fogo e dinamitador </t>
  </si>
  <si>
    <t>7543</t>
  </si>
  <si>
    <t>Calibrador e verificador de produtos (excepto alimentos e bebidas)</t>
  </si>
  <si>
    <t>7544</t>
  </si>
  <si>
    <t>Fumigador e outros controladores, de pragas e ervas daninhas</t>
  </si>
  <si>
    <t>7549</t>
  </si>
  <si>
    <t>Trabalhador de outros ofícios, n.e.</t>
  </si>
  <si>
    <t>8111</t>
  </si>
  <si>
    <t xml:space="preserve">Mineiros e trabalhadores das pedreiras </t>
  </si>
  <si>
    <t>8112</t>
  </si>
  <si>
    <t>Operadores de instalações de processamento de minérios e rochas</t>
  </si>
  <si>
    <t>8113</t>
  </si>
  <si>
    <t>Perfurador de poços, sondador e similares</t>
  </si>
  <si>
    <t>8114</t>
  </si>
  <si>
    <t>Operadores de máquinas para trabalhar cimento, pedra e outros minerais</t>
  </si>
  <si>
    <t>8121</t>
  </si>
  <si>
    <t xml:space="preserve">Operadores de instalações de transformação de metais </t>
  </si>
  <si>
    <t>8122</t>
  </si>
  <si>
    <t>Operador de máquinas de revestimento, metalização e acabamento de metais</t>
  </si>
  <si>
    <t>8131</t>
  </si>
  <si>
    <t xml:space="preserve">Operadores de instalações e máquinas do fabrico de produtos químicos </t>
  </si>
  <si>
    <t>8132</t>
  </si>
  <si>
    <t xml:space="preserve">Operador de máquinas para o fabrico de produtos fotográficos </t>
  </si>
  <si>
    <t>8141</t>
  </si>
  <si>
    <t>Operador de máquinas para o fabrico de produtos de borracha</t>
  </si>
  <si>
    <t>8142</t>
  </si>
  <si>
    <t>Operador de máquinas para o fabrico de produtos de matérias plásticas</t>
  </si>
  <si>
    <t>8143</t>
  </si>
  <si>
    <t>Operador de máquinas para o fabrico de produtos de papel</t>
  </si>
  <si>
    <t>8151</t>
  </si>
  <si>
    <t xml:space="preserve">Operador de máquinas para preparar, fiar e bobinar, fibras têxteis </t>
  </si>
  <si>
    <t>8152</t>
  </si>
  <si>
    <t xml:space="preserve">Operador de máquinas de tecer e tricotar </t>
  </si>
  <si>
    <t>8153</t>
  </si>
  <si>
    <t>Operador de máquinas de costura</t>
  </si>
  <si>
    <t>8154</t>
  </si>
  <si>
    <t>Operador de máquinas de branquear, tingir e limpar, tecidos e outros têxteis</t>
  </si>
  <si>
    <t>8155</t>
  </si>
  <si>
    <t>Operador de máquinas para preparar peles com pêlo e couro</t>
  </si>
  <si>
    <t>8156</t>
  </si>
  <si>
    <t>Operador de máquinas de fabrico de calçado e similares</t>
  </si>
  <si>
    <t>8157</t>
  </si>
  <si>
    <t xml:space="preserve">Operador de máquinas de lavandaria </t>
  </si>
  <si>
    <t>8159</t>
  </si>
  <si>
    <t>Outros operadores de máquinas para o fabrico de produtos têxteis, de pele com pêlo e couro</t>
  </si>
  <si>
    <t>8160</t>
  </si>
  <si>
    <t xml:space="preserve">Operadores de máquinas do fabrico de produtos alimentares e similares  </t>
  </si>
  <si>
    <t>8171</t>
  </si>
  <si>
    <t xml:space="preserve">Operador de instalações para o fabrico de pasta de papel e de papel </t>
  </si>
  <si>
    <t>8172</t>
  </si>
  <si>
    <t>Operador de instalações para o trabalho da madeira e cortiça</t>
  </si>
  <si>
    <t>8181</t>
  </si>
  <si>
    <t xml:space="preserve">Operadores de instalações do fabrico de vidro e produtos cerâmicos </t>
  </si>
  <si>
    <t>8182</t>
  </si>
  <si>
    <t>Operador de máquinas a vapor e caldeiras</t>
  </si>
  <si>
    <t>8183</t>
  </si>
  <si>
    <t>Operador de máquinas de embalar, encher e rotular</t>
  </si>
  <si>
    <t>8189</t>
  </si>
  <si>
    <t>Outros operadores de instalações fixas e de máquinas, n.e.</t>
  </si>
  <si>
    <t>8211</t>
  </si>
  <si>
    <t>Montador de maquinaria mecânica</t>
  </si>
  <si>
    <t>8212</t>
  </si>
  <si>
    <t>Montador de equipamentos eléctricos e electrónicos</t>
  </si>
  <si>
    <t>8219</t>
  </si>
  <si>
    <t xml:space="preserve">Outros trabalhadores da montagem </t>
  </si>
  <si>
    <t>8311</t>
  </si>
  <si>
    <t>Maquinista de locomotivas</t>
  </si>
  <si>
    <t>8312</t>
  </si>
  <si>
    <t>Guarda-freios, agulheiro e agente de manobras de caminhos-de-ferro</t>
  </si>
  <si>
    <t>8321</t>
  </si>
  <si>
    <t>Condutor de motociclos</t>
  </si>
  <si>
    <t>8322</t>
  </si>
  <si>
    <t xml:space="preserve">Motoristas de automóveis ligeiros, táxis e carrinhas </t>
  </si>
  <si>
    <t>8331</t>
  </si>
  <si>
    <t xml:space="preserve">Motoristas de autocarros e guarda-freios de eléctricos </t>
  </si>
  <si>
    <t>8332</t>
  </si>
  <si>
    <t>Motorista de veículos pesados de mercadorias</t>
  </si>
  <si>
    <t>8341</t>
  </si>
  <si>
    <t>Operador de máquinas agrícolas e florestais, móveis</t>
  </si>
  <si>
    <t>8342</t>
  </si>
  <si>
    <t>Operador de máquinas de escavação, terraplenagem e similares</t>
  </si>
  <si>
    <t>8343</t>
  </si>
  <si>
    <t>Operador de gruas, guindastes e similares</t>
  </si>
  <si>
    <t>8344</t>
  </si>
  <si>
    <t xml:space="preserve">Operador de empilhadores </t>
  </si>
  <si>
    <t>8350</t>
  </si>
  <si>
    <t xml:space="preserve">Tripulação de convés de navios e similares </t>
  </si>
  <si>
    <t>9111</t>
  </si>
  <si>
    <t>Trabalhador de limpeza em casas particulares</t>
  </si>
  <si>
    <t>9112</t>
  </si>
  <si>
    <t xml:space="preserve">Trabalhador de limpeza em escritórios, hotéis e outros estabelecimentos </t>
  </si>
  <si>
    <t>9121</t>
  </si>
  <si>
    <t xml:space="preserve">Lavadeiro e engomador de roupa </t>
  </si>
  <si>
    <t>9122</t>
  </si>
  <si>
    <t xml:space="preserve">Lavador de veículos </t>
  </si>
  <si>
    <t>9123</t>
  </si>
  <si>
    <t xml:space="preserve">Lavador de janelas </t>
  </si>
  <si>
    <t>9129</t>
  </si>
  <si>
    <t xml:space="preserve">Outro trabalhador de limpeza manual </t>
  </si>
  <si>
    <t>9211</t>
  </si>
  <si>
    <t>Trabalhador não qualificado da agricultura (exclui horticultura e floricultura)</t>
  </si>
  <si>
    <t>9212</t>
  </si>
  <si>
    <t>Trabalhador não qualificado da produção animal</t>
  </si>
  <si>
    <t>9213</t>
  </si>
  <si>
    <t xml:space="preserve">Trabalhador não qualificado da agricultura e produção animal combinadas </t>
  </si>
  <si>
    <t>9214</t>
  </si>
  <si>
    <t>Trabalhador não qualificado da floricultura e horticultura</t>
  </si>
  <si>
    <t>9215</t>
  </si>
  <si>
    <t xml:space="preserve">Trabalhador não qualificado da floresta </t>
  </si>
  <si>
    <t>9216</t>
  </si>
  <si>
    <t>Trabalhadores não qualificados, da pesca e aquicultura</t>
  </si>
  <si>
    <t>9311</t>
  </si>
  <si>
    <t xml:space="preserve">Trabalhadores não qualificados das minas e pedreiras </t>
  </si>
  <si>
    <t>9312</t>
  </si>
  <si>
    <t xml:space="preserve">Trabalhador não qualificado de engenharia civil </t>
  </si>
  <si>
    <t>9313</t>
  </si>
  <si>
    <t xml:space="preserve">Trabalhador não qualificado da construção de edifícios </t>
  </si>
  <si>
    <t>9321</t>
  </si>
  <si>
    <t>Embalador manual da indústria transformadora</t>
  </si>
  <si>
    <t>9329</t>
  </si>
  <si>
    <t>Outros trabalhadores não qualificados da indústria transformador</t>
  </si>
  <si>
    <t>9331</t>
  </si>
  <si>
    <t>Condutor de veículos accionados à mão ou ao pé</t>
  </si>
  <si>
    <t>9332</t>
  </si>
  <si>
    <t>Condutor de veículos de tracção animal</t>
  </si>
  <si>
    <t>9333</t>
  </si>
  <si>
    <t>Carregadores e descarregadores não qualificados de mercadorias</t>
  </si>
  <si>
    <t>9334</t>
  </si>
  <si>
    <t>Repositor de produtos em prateleiras</t>
  </si>
  <si>
    <t>9411</t>
  </si>
  <si>
    <t>Preparador de refeições rápidas</t>
  </si>
  <si>
    <t>9412</t>
  </si>
  <si>
    <t>Ajudante de cozinha</t>
  </si>
  <si>
    <t>9510</t>
  </si>
  <si>
    <t>Prestador de serviços na rua</t>
  </si>
  <si>
    <t>9520</t>
  </si>
  <si>
    <t xml:space="preserve">Vendedor ambulante (excepto de alimentos) </t>
  </si>
  <si>
    <t>9611</t>
  </si>
  <si>
    <t>Trabalhador da recolha de resíduos</t>
  </si>
  <si>
    <t>9612</t>
  </si>
  <si>
    <t>Trabalhador da triagem de resíduos</t>
  </si>
  <si>
    <t>9613</t>
  </si>
  <si>
    <t>Cantoneiros de limpeza, empregados de lavabos e similares</t>
  </si>
  <si>
    <t>9621</t>
  </si>
  <si>
    <t xml:space="preserve">Estafetas, bagageiros e distribuidores </t>
  </si>
  <si>
    <t>9622</t>
  </si>
  <si>
    <t>Trabalhadores polivalentes</t>
  </si>
  <si>
    <t>9623</t>
  </si>
  <si>
    <t>Leitores de contadores e colectores de dinheiro, em máquinas de venda automática, parquímetros e similares</t>
  </si>
  <si>
    <t>9624</t>
  </si>
  <si>
    <t>Carregador de água e apanhador de lenha</t>
  </si>
  <si>
    <t>9629</t>
  </si>
  <si>
    <t xml:space="preserve">Outras profissões elementares, n.e. </t>
  </si>
  <si>
    <t xml:space="preserve"> Número Processo Interno </t>
  </si>
  <si>
    <t>Número SIGO</t>
  </si>
  <si>
    <t xml:space="preserve">16 - Outro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</si>
</sst>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0000000"/>
    <numFmt numFmtId="165" formatCode="0000\-0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theme="1"/>
      <name val="Barlow"/>
    </font>
    <font>
      <b/>
      <sz val="10"/>
      <name val="Barlow"/>
    </font>
    <font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5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/>
    </xf>
    <xf numFmtId="0" fontId="0" fillId="0" borderId="11" xfId="0" applyBorder="1"/>
    <xf numFmtId="0" fontId="6" fillId="0" borderId="11" xfId="1" applyNumberFormat="1" applyFont="1" applyBorder="1" applyAlignment="1">
      <alignment horizontal="center" vertical="center" wrapText="1"/>
    </xf>
    <xf numFmtId="14" fontId="7" fillId="0" borderId="11" xfId="0" applyNumberFormat="1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0" fontId="0" fillId="0" borderId="12" xfId="0" applyBorder="1"/>
    <xf numFmtId="49" fontId="8" fillId="0" borderId="0" xfId="0" applyNumberFormat="1" applyFont="1" applyAlignment="1">
      <alignment vertical="top" wrapText="1"/>
    </xf>
    <xf numFmtId="14" fontId="8" fillId="0" borderId="0" xfId="0" applyNumberFormat="1" applyFont="1" applyAlignment="1">
      <alignment vertical="top" wrapText="1"/>
    </xf>
    <xf numFmtId="0" fontId="6" fillId="3" borderId="11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1" xfId="0" applyFont="1" applyBorder="1" applyAlignment="1">
      <alignment vertical="center" wrapText="1"/>
    </xf>
    <xf numFmtId="49" fontId="8" fillId="4" borderId="0" xfId="0" applyNumberFormat="1" applyFont="1" applyFill="1" applyAlignment="1">
      <alignment vertical="top" wrapText="1"/>
    </xf>
    <xf numFmtId="14" fontId="0" fillId="0" borderId="0" xfId="0" applyNumberFormat="1"/>
    <xf numFmtId="0" fontId="8" fillId="4" borderId="0" xfId="0" applyFont="1" applyFill="1"/>
    <xf numFmtId="0" fontId="3" fillId="5" borderId="0" xfId="0" applyFont="1" applyFill="1" applyAlignment="1">
      <alignment horizontal="left"/>
    </xf>
    <xf numFmtId="0" fontId="3" fillId="5" borderId="0" xfId="0" applyFont="1" applyFill="1"/>
    <xf numFmtId="0" fontId="3" fillId="6" borderId="12" xfId="0" applyFont="1" applyFill="1" applyBorder="1"/>
    <xf numFmtId="0" fontId="3" fillId="6" borderId="0" xfId="0" applyFont="1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41AB-8E11-499E-A3B4-1365029A2C1C}">
  <dimension ref="A1:CJ872"/>
  <sheetViews>
    <sheetView tabSelected="1" topLeftCell="K854" workbookViewId="0">
      <selection activeCell="O871" sqref="O871"/>
    </sheetView>
  </sheetViews>
  <sheetFormatPr defaultColWidth="30.5703125" defaultRowHeight="15" x14ac:dyDescent="0.25"/>
  <cols>
    <col min="12" max="12" width="39" customWidth="1"/>
    <col min="14" max="14" width="30.5703125" style="27"/>
    <col min="41" max="42" width="30.5703125" style="27"/>
    <col min="81" max="82" width="30.5703125" style="27"/>
    <col min="84" max="88" width="30.5703125" style="27"/>
  </cols>
  <sheetData>
    <row r="1" spans="1:88" ht="15.75" thickBot="1" x14ac:dyDescent="0.3">
      <c r="A1" s="33" t="s">
        <v>1615</v>
      </c>
      <c r="B1" s="34"/>
      <c r="C1" s="34"/>
      <c r="D1" s="34"/>
      <c r="E1" s="34"/>
      <c r="F1" s="34"/>
      <c r="G1" s="34"/>
      <c r="H1" s="34"/>
      <c r="I1" s="35"/>
      <c r="J1" s="36" t="s">
        <v>1616</v>
      </c>
      <c r="K1" s="37"/>
      <c r="L1" s="37"/>
      <c r="M1" s="37"/>
      <c r="N1" s="37"/>
      <c r="O1" s="37"/>
      <c r="P1" s="37"/>
      <c r="Q1" s="37"/>
      <c r="R1" s="37"/>
      <c r="S1" s="37"/>
      <c r="T1" s="37"/>
      <c r="U1" s="36" t="s">
        <v>1617</v>
      </c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8"/>
      <c r="AM1" s="39" t="s">
        <v>1618</v>
      </c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1"/>
      <c r="AY1" s="36" t="s">
        <v>1619</v>
      </c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8"/>
    </row>
    <row r="2" spans="1:88" s="9" customFormat="1" ht="36" customHeight="1" thickBot="1" x14ac:dyDescent="0.3">
      <c r="A2" s="2" t="s">
        <v>1620</v>
      </c>
      <c r="B2" s="3" t="s">
        <v>1621</v>
      </c>
      <c r="C2" s="3" t="s">
        <v>1622</v>
      </c>
      <c r="D2" s="4" t="s">
        <v>1623</v>
      </c>
      <c r="E2" s="4" t="s">
        <v>1624</v>
      </c>
      <c r="F2" s="4" t="s">
        <v>1625</v>
      </c>
      <c r="G2" s="4" t="s">
        <v>1626</v>
      </c>
      <c r="H2" s="4" t="s">
        <v>1627</v>
      </c>
      <c r="I2" s="5" t="s">
        <v>1628</v>
      </c>
      <c r="J2" s="2" t="s">
        <v>1629</v>
      </c>
      <c r="K2" s="3" t="s">
        <v>1630</v>
      </c>
      <c r="L2" s="3" t="s">
        <v>1631</v>
      </c>
      <c r="M2" s="6" t="s">
        <v>1632</v>
      </c>
      <c r="N2" s="3" t="s">
        <v>1633</v>
      </c>
      <c r="O2" s="3" t="s">
        <v>1634</v>
      </c>
      <c r="P2" s="3" t="s">
        <v>1635</v>
      </c>
      <c r="Q2" s="3" t="s">
        <v>1636</v>
      </c>
      <c r="R2" s="3" t="s">
        <v>1637</v>
      </c>
      <c r="S2" s="3" t="s">
        <v>1638</v>
      </c>
      <c r="T2" s="4" t="s">
        <v>1639</v>
      </c>
      <c r="U2" s="2" t="s">
        <v>1640</v>
      </c>
      <c r="V2" s="3" t="s">
        <v>1641</v>
      </c>
      <c r="W2" s="3" t="s">
        <v>1642</v>
      </c>
      <c r="X2" s="3" t="s">
        <v>1643</v>
      </c>
      <c r="Y2" s="3" t="s">
        <v>1644</v>
      </c>
      <c r="Z2" s="3" t="s">
        <v>1645</v>
      </c>
      <c r="AA2" s="3" t="s">
        <v>1646</v>
      </c>
      <c r="AB2" s="3" t="s">
        <v>1647</v>
      </c>
      <c r="AC2" s="3" t="s">
        <v>1648</v>
      </c>
      <c r="AD2" s="3" t="s">
        <v>1649</v>
      </c>
      <c r="AE2" s="3" t="s">
        <v>1650</v>
      </c>
      <c r="AF2" s="3" t="s">
        <v>1651</v>
      </c>
      <c r="AG2" s="3" t="s">
        <v>135</v>
      </c>
      <c r="AH2" s="3" t="s">
        <v>136</v>
      </c>
      <c r="AI2" s="3" t="s">
        <v>3509</v>
      </c>
      <c r="AJ2" s="3" t="s">
        <v>3508</v>
      </c>
      <c r="AK2" s="3" t="s">
        <v>1652</v>
      </c>
      <c r="AL2" s="5" t="s">
        <v>1653</v>
      </c>
      <c r="AM2" s="2" t="s">
        <v>1654</v>
      </c>
      <c r="AN2" s="3" t="s">
        <v>1618</v>
      </c>
      <c r="AO2" s="3" t="s">
        <v>1655</v>
      </c>
      <c r="AP2" s="3" t="s">
        <v>1656</v>
      </c>
      <c r="AQ2" s="3" t="s">
        <v>1657</v>
      </c>
      <c r="AR2" s="3" t="s">
        <v>1658</v>
      </c>
      <c r="AS2" s="3" t="s">
        <v>1659</v>
      </c>
      <c r="AT2" s="3" t="s">
        <v>1660</v>
      </c>
      <c r="AU2" s="3" t="s">
        <v>1661</v>
      </c>
      <c r="AV2" s="7" t="s">
        <v>1662</v>
      </c>
      <c r="AW2" s="7" t="s">
        <v>1663</v>
      </c>
      <c r="AX2" s="5" t="s">
        <v>1664</v>
      </c>
      <c r="AY2" s="8" t="s">
        <v>1665</v>
      </c>
      <c r="AZ2" s="7" t="s">
        <v>1666</v>
      </c>
      <c r="BA2" s="7" t="s">
        <v>1667</v>
      </c>
      <c r="BB2" s="7" t="s">
        <v>1668</v>
      </c>
      <c r="BC2" s="7" t="s">
        <v>1669</v>
      </c>
      <c r="BD2" s="7" t="s">
        <v>1670</v>
      </c>
      <c r="BE2" s="7" t="s">
        <v>1671</v>
      </c>
      <c r="BF2" s="7" t="s">
        <v>1672</v>
      </c>
      <c r="BG2" s="7" t="s">
        <v>1673</v>
      </c>
      <c r="BH2" s="7" t="s">
        <v>1674</v>
      </c>
      <c r="BI2" s="7" t="s">
        <v>1675</v>
      </c>
      <c r="BJ2" s="7" t="s">
        <v>1676</v>
      </c>
      <c r="BK2" s="7" t="s">
        <v>1677</v>
      </c>
      <c r="BL2" s="7" t="s">
        <v>1678</v>
      </c>
      <c r="BM2" s="7" t="s">
        <v>1679</v>
      </c>
      <c r="BN2" s="7" t="s">
        <v>1680</v>
      </c>
      <c r="BO2" s="7" t="s">
        <v>1681</v>
      </c>
      <c r="BP2" s="7" t="s">
        <v>1682</v>
      </c>
      <c r="BQ2" s="7" t="s">
        <v>1683</v>
      </c>
      <c r="BR2" s="7" t="s">
        <v>1684</v>
      </c>
      <c r="BS2" s="7" t="s">
        <v>1685</v>
      </c>
      <c r="BT2" s="7" t="s">
        <v>1686</v>
      </c>
      <c r="BU2" s="7" t="s">
        <v>1687</v>
      </c>
      <c r="BV2" s="7" t="s">
        <v>1688</v>
      </c>
      <c r="BW2" s="7" t="s">
        <v>1689</v>
      </c>
      <c r="BX2" s="7" t="s">
        <v>1690</v>
      </c>
      <c r="BY2" s="7" t="s">
        <v>1691</v>
      </c>
      <c r="BZ2" s="7" t="s">
        <v>1692</v>
      </c>
      <c r="CA2" s="7" t="s">
        <v>1693</v>
      </c>
      <c r="CB2" s="7" t="s">
        <v>1694</v>
      </c>
      <c r="CC2" s="7" t="s">
        <v>1695</v>
      </c>
      <c r="CD2" s="7" t="s">
        <v>1696</v>
      </c>
      <c r="CE2" s="7" t="s">
        <v>1697</v>
      </c>
      <c r="CF2" s="7" t="s">
        <v>1698</v>
      </c>
      <c r="CG2" s="7" t="s">
        <v>1699</v>
      </c>
      <c r="CH2" s="7" t="s">
        <v>1700</v>
      </c>
      <c r="CI2" s="7" t="s">
        <v>1701</v>
      </c>
      <c r="CJ2" s="6" t="s">
        <v>1702</v>
      </c>
    </row>
    <row r="3" spans="1:88" s="9" customFormat="1" x14ac:dyDescent="0.25">
      <c r="A3" s="10"/>
      <c r="B3" s="10"/>
      <c r="C3" s="10"/>
      <c r="D3" s="10"/>
      <c r="E3" s="11"/>
      <c r="F3" s="10"/>
      <c r="G3" s="10"/>
      <c r="H3" s="10"/>
      <c r="I3" s="10"/>
      <c r="J3" s="10"/>
      <c r="K3" s="12"/>
      <c r="L3" s="10"/>
      <c r="M3" s="10"/>
      <c r="N3" s="13"/>
      <c r="O3" s="10"/>
      <c r="P3" s="10"/>
      <c r="Q3" s="10"/>
      <c r="R3" s="18"/>
      <c r="S3" s="10"/>
      <c r="T3" s="10"/>
      <c r="U3" s="13"/>
      <c r="V3" s="13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3"/>
      <c r="AL3" s="14"/>
      <c r="AM3" s="15"/>
      <c r="AN3" s="15"/>
      <c r="AO3" s="13"/>
      <c r="AP3" s="13"/>
      <c r="AQ3" s="16"/>
      <c r="AR3" s="10"/>
      <c r="AS3" s="10"/>
      <c r="AT3" s="10"/>
      <c r="AU3" s="10"/>
      <c r="AV3" s="11"/>
      <c r="AW3" s="11"/>
      <c r="AX3" s="10"/>
      <c r="AY3" s="11"/>
      <c r="AZ3" s="11"/>
      <c r="BA3" s="11"/>
      <c r="BB3" s="10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7"/>
      <c r="CD3" s="17"/>
      <c r="CE3" s="11"/>
      <c r="CF3" s="13"/>
      <c r="CG3" s="13"/>
      <c r="CH3" s="13"/>
      <c r="CI3" s="13"/>
      <c r="CJ3" s="13"/>
    </row>
    <row r="4" spans="1:88" s="9" customFormat="1" x14ac:dyDescent="0.25">
      <c r="A4" s="10"/>
      <c r="B4" s="10"/>
      <c r="C4" s="10"/>
      <c r="D4" s="10"/>
      <c r="E4" s="11"/>
      <c r="F4" s="10"/>
      <c r="G4" s="10"/>
      <c r="H4" s="10"/>
      <c r="I4" s="10"/>
      <c r="J4" s="10"/>
      <c r="K4" s="12"/>
      <c r="L4" s="10"/>
      <c r="M4" s="10"/>
      <c r="N4" s="13"/>
      <c r="O4" s="10"/>
      <c r="P4" s="10"/>
      <c r="Q4" s="10"/>
      <c r="R4" s="18"/>
      <c r="S4" s="10"/>
      <c r="T4" s="10"/>
      <c r="U4" s="13"/>
      <c r="V4" s="13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3"/>
      <c r="AL4" s="14"/>
      <c r="AM4" s="15"/>
      <c r="AN4" s="15"/>
      <c r="AO4" s="13"/>
      <c r="AP4" s="13"/>
      <c r="AQ4" s="16"/>
      <c r="AR4" s="10"/>
      <c r="AS4" s="10"/>
      <c r="AT4" s="10"/>
      <c r="AU4" s="10"/>
      <c r="AV4" s="11"/>
      <c r="AW4" s="11"/>
      <c r="AX4" s="10"/>
      <c r="AY4" s="11"/>
      <c r="AZ4" s="11"/>
      <c r="BA4" s="11"/>
      <c r="BB4" s="10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7"/>
      <c r="CD4" s="17"/>
      <c r="CE4" s="11"/>
      <c r="CF4" s="13"/>
      <c r="CG4" s="13"/>
      <c r="CH4" s="13"/>
      <c r="CI4" s="13"/>
      <c r="CJ4" s="13"/>
    </row>
    <row r="5" spans="1:88" s="9" customFormat="1" x14ac:dyDescent="0.25">
      <c r="A5" s="10"/>
      <c r="B5" s="10"/>
      <c r="C5" s="10"/>
      <c r="D5" s="10"/>
      <c r="E5" s="11"/>
      <c r="F5" s="10"/>
      <c r="G5" s="10"/>
      <c r="H5" s="10"/>
      <c r="I5" s="10"/>
      <c r="J5" s="10"/>
      <c r="K5" s="12"/>
      <c r="L5" s="10"/>
      <c r="M5" s="10"/>
      <c r="N5" s="13"/>
      <c r="O5" s="10"/>
      <c r="P5" s="10"/>
      <c r="Q5" s="10"/>
      <c r="R5" s="18"/>
      <c r="S5" s="10"/>
      <c r="T5" s="10"/>
      <c r="U5" s="13"/>
      <c r="V5" s="13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3"/>
      <c r="AL5" s="14"/>
      <c r="AM5" s="15"/>
      <c r="AN5" s="15"/>
      <c r="AO5" s="13"/>
      <c r="AP5" s="13"/>
      <c r="AQ5" s="16"/>
      <c r="AR5" s="10"/>
      <c r="AS5" s="10"/>
      <c r="AT5" s="10"/>
      <c r="AU5" s="10"/>
      <c r="AV5" s="11"/>
      <c r="AW5" s="11"/>
      <c r="AX5" s="10"/>
      <c r="AY5" s="11"/>
      <c r="AZ5" s="11"/>
      <c r="BA5" s="11"/>
      <c r="BB5" s="10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7"/>
      <c r="CD5" s="17"/>
      <c r="CE5" s="11"/>
      <c r="CF5" s="13"/>
      <c r="CG5" s="13"/>
      <c r="CH5" s="13"/>
      <c r="CI5" s="13"/>
      <c r="CJ5" s="13"/>
    </row>
    <row r="6" spans="1:88" s="9" customFormat="1" x14ac:dyDescent="0.25">
      <c r="A6" s="10"/>
      <c r="B6" s="10"/>
      <c r="C6" s="10"/>
      <c r="D6" s="10"/>
      <c r="E6" s="11"/>
      <c r="F6" s="10"/>
      <c r="G6" s="10"/>
      <c r="H6" s="10"/>
      <c r="I6" s="10"/>
      <c r="J6" s="10"/>
      <c r="K6" s="12"/>
      <c r="L6" s="10"/>
      <c r="M6" s="10"/>
      <c r="N6" s="13"/>
      <c r="O6" s="10"/>
      <c r="P6" s="10"/>
      <c r="Q6" s="10"/>
      <c r="R6" s="18"/>
      <c r="S6" s="10"/>
      <c r="T6" s="10"/>
      <c r="U6" s="13"/>
      <c r="V6" s="13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3"/>
      <c r="AL6" s="14"/>
      <c r="AM6" s="15"/>
      <c r="AN6" s="15"/>
      <c r="AO6" s="13"/>
      <c r="AP6" s="13"/>
      <c r="AQ6" s="16"/>
      <c r="AR6" s="10"/>
      <c r="AS6" s="10"/>
      <c r="AT6" s="10"/>
      <c r="AU6" s="10"/>
      <c r="AV6" s="11"/>
      <c r="AW6" s="11"/>
      <c r="AX6" s="10"/>
      <c r="AY6" s="11"/>
      <c r="AZ6" s="11"/>
      <c r="BA6" s="11"/>
      <c r="BB6" s="10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7"/>
      <c r="CD6" s="17"/>
      <c r="CE6" s="11"/>
      <c r="CF6" s="13"/>
      <c r="CG6" s="13"/>
      <c r="CH6" s="13"/>
      <c r="CI6" s="13"/>
      <c r="CJ6" s="13"/>
    </row>
    <row r="7" spans="1:88" s="9" customFormat="1" x14ac:dyDescent="0.25">
      <c r="A7" s="10"/>
      <c r="B7" s="10"/>
      <c r="C7" s="10"/>
      <c r="D7" s="10"/>
      <c r="E7" s="11"/>
      <c r="F7" s="10"/>
      <c r="G7" s="10"/>
      <c r="H7" s="10"/>
      <c r="I7" s="10"/>
      <c r="J7" s="10"/>
      <c r="K7" s="12"/>
      <c r="L7" s="10"/>
      <c r="M7" s="10"/>
      <c r="N7" s="13"/>
      <c r="O7" s="10"/>
      <c r="P7" s="10"/>
      <c r="Q7" s="10"/>
      <c r="R7" s="18"/>
      <c r="S7" s="10"/>
      <c r="T7" s="10"/>
      <c r="U7" s="13"/>
      <c r="V7" s="13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3"/>
      <c r="AL7" s="14"/>
      <c r="AM7" s="15"/>
      <c r="AN7" s="15"/>
      <c r="AO7" s="13"/>
      <c r="AP7" s="13"/>
      <c r="AQ7" s="16"/>
      <c r="AR7" s="10"/>
      <c r="AS7" s="10"/>
      <c r="AT7" s="10"/>
      <c r="AU7" s="10"/>
      <c r="AV7" s="11"/>
      <c r="AW7" s="11"/>
      <c r="AX7" s="10"/>
      <c r="AY7" s="11"/>
      <c r="AZ7" s="11"/>
      <c r="BA7" s="11"/>
      <c r="BB7" s="10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7"/>
      <c r="CD7" s="17"/>
      <c r="CE7" s="11"/>
      <c r="CF7" s="13"/>
      <c r="CG7" s="13"/>
      <c r="CH7" s="13"/>
      <c r="CI7" s="13"/>
      <c r="CJ7" s="13"/>
    </row>
    <row r="8" spans="1:88" s="9" customFormat="1" x14ac:dyDescent="0.25">
      <c r="A8" s="10"/>
      <c r="B8" s="10"/>
      <c r="C8" s="10"/>
      <c r="D8" s="10"/>
      <c r="E8" s="11"/>
      <c r="F8" s="10"/>
      <c r="G8" s="10"/>
      <c r="H8" s="10"/>
      <c r="I8" s="10"/>
      <c r="J8" s="10"/>
      <c r="K8" s="12"/>
      <c r="L8" s="10"/>
      <c r="M8" s="10"/>
      <c r="N8" s="13"/>
      <c r="O8" s="10"/>
      <c r="P8" s="10"/>
      <c r="Q8" s="10"/>
      <c r="R8" s="18"/>
      <c r="S8" s="10"/>
      <c r="T8" s="10"/>
      <c r="U8" s="13"/>
      <c r="V8" s="13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3"/>
      <c r="AL8" s="14"/>
      <c r="AM8" s="15"/>
      <c r="AN8" s="15"/>
      <c r="AO8" s="13"/>
      <c r="AP8" s="13"/>
      <c r="AQ8" s="16"/>
      <c r="AR8" s="10"/>
      <c r="AS8" s="10"/>
      <c r="AT8" s="10"/>
      <c r="AU8" s="10"/>
      <c r="AV8" s="11"/>
      <c r="AW8" s="11"/>
      <c r="AX8" s="10"/>
      <c r="AY8" s="11"/>
      <c r="AZ8" s="11"/>
      <c r="BA8" s="11"/>
      <c r="BB8" s="10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7"/>
      <c r="CD8" s="17"/>
      <c r="CE8" s="11"/>
      <c r="CF8" s="13"/>
      <c r="CG8" s="13"/>
      <c r="CH8" s="13"/>
      <c r="CI8" s="13"/>
      <c r="CJ8" s="13"/>
    </row>
    <row r="9" spans="1:88" s="9" customFormat="1" x14ac:dyDescent="0.25">
      <c r="A9" s="10"/>
      <c r="B9" s="10"/>
      <c r="C9" s="10"/>
      <c r="D9" s="10"/>
      <c r="E9" s="11"/>
      <c r="F9" s="10"/>
      <c r="G9" s="10"/>
      <c r="H9" s="10"/>
      <c r="I9" s="10"/>
      <c r="J9" s="10"/>
      <c r="K9" s="12"/>
      <c r="L9" s="10"/>
      <c r="M9" s="10"/>
      <c r="N9" s="13"/>
      <c r="O9" s="10"/>
      <c r="P9" s="10"/>
      <c r="Q9" s="10"/>
      <c r="R9" s="18"/>
      <c r="S9" s="10"/>
      <c r="T9" s="10"/>
      <c r="U9" s="13"/>
      <c r="V9" s="13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3"/>
      <c r="AL9" s="14"/>
      <c r="AM9" s="15"/>
      <c r="AN9" s="15"/>
      <c r="AO9" s="13"/>
      <c r="AP9" s="13"/>
      <c r="AQ9" s="16"/>
      <c r="AR9" s="10"/>
      <c r="AS9" s="10"/>
      <c r="AT9" s="10"/>
      <c r="AU9" s="10"/>
      <c r="AV9" s="11"/>
      <c r="AW9" s="11"/>
      <c r="AX9" s="10"/>
      <c r="AY9" s="11"/>
      <c r="AZ9" s="11"/>
      <c r="BA9" s="11"/>
      <c r="BB9" s="10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7"/>
      <c r="CD9" s="17"/>
      <c r="CE9" s="11"/>
      <c r="CF9" s="13"/>
      <c r="CG9" s="13"/>
      <c r="CH9" s="13"/>
      <c r="CI9" s="13"/>
      <c r="CJ9" s="13"/>
    </row>
    <row r="10" spans="1:88" s="9" customFormat="1" x14ac:dyDescent="0.25">
      <c r="A10" s="10"/>
      <c r="B10" s="10"/>
      <c r="C10" s="10"/>
      <c r="D10" s="10"/>
      <c r="E10" s="11"/>
      <c r="F10" s="10"/>
      <c r="G10" s="10"/>
      <c r="H10" s="10"/>
      <c r="I10" s="10"/>
      <c r="J10" s="10"/>
      <c r="K10" s="12"/>
      <c r="L10" s="10"/>
      <c r="M10" s="10"/>
      <c r="N10" s="13"/>
      <c r="O10" s="10"/>
      <c r="P10" s="10"/>
      <c r="Q10" s="10"/>
      <c r="R10" s="18"/>
      <c r="S10" s="10"/>
      <c r="T10" s="10"/>
      <c r="U10" s="13"/>
      <c r="V10" s="13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3"/>
      <c r="AL10" s="14"/>
      <c r="AM10" s="15"/>
      <c r="AN10" s="15"/>
      <c r="AO10" s="13"/>
      <c r="AP10" s="13"/>
      <c r="AQ10" s="16"/>
      <c r="AR10" s="10"/>
      <c r="AS10" s="10"/>
      <c r="AT10" s="10"/>
      <c r="AU10" s="10"/>
      <c r="AV10" s="11"/>
      <c r="AW10" s="11"/>
      <c r="AX10" s="10"/>
      <c r="AY10" s="11"/>
      <c r="AZ10" s="11"/>
      <c r="BA10" s="11"/>
      <c r="BB10" s="10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7"/>
      <c r="CD10" s="17"/>
      <c r="CE10" s="11"/>
      <c r="CF10" s="13"/>
      <c r="CG10" s="13"/>
      <c r="CH10" s="13"/>
      <c r="CI10" s="13"/>
      <c r="CJ10" s="13"/>
    </row>
    <row r="11" spans="1:88" s="9" customFormat="1" x14ac:dyDescent="0.25">
      <c r="A11" s="10"/>
      <c r="B11" s="10"/>
      <c r="C11" s="10"/>
      <c r="D11" s="10"/>
      <c r="E11" s="11"/>
      <c r="F11" s="10"/>
      <c r="G11" s="10"/>
      <c r="H11" s="10"/>
      <c r="I11" s="10"/>
      <c r="J11" s="10"/>
      <c r="K11" s="12"/>
      <c r="L11" s="10"/>
      <c r="M11" s="10"/>
      <c r="N11" s="13"/>
      <c r="O11" s="10"/>
      <c r="P11" s="10"/>
      <c r="Q11" s="10"/>
      <c r="R11" s="18"/>
      <c r="S11" s="10"/>
      <c r="T11" s="10"/>
      <c r="U11" s="13"/>
      <c r="V11" s="13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3"/>
      <c r="AL11" s="14"/>
      <c r="AM11" s="15"/>
      <c r="AN11" s="15"/>
      <c r="AO11" s="13"/>
      <c r="AP11" s="13"/>
      <c r="AQ11" s="16"/>
      <c r="AR11" s="10"/>
      <c r="AS11" s="10"/>
      <c r="AT11" s="10"/>
      <c r="AU11" s="10"/>
      <c r="AV11" s="11"/>
      <c r="AW11" s="11"/>
      <c r="AX11" s="10"/>
      <c r="AY11" s="11"/>
      <c r="AZ11" s="11"/>
      <c r="BA11" s="11"/>
      <c r="BB11" s="10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7"/>
      <c r="CD11" s="17"/>
      <c r="CE11" s="11"/>
      <c r="CF11" s="13"/>
      <c r="CG11" s="13"/>
      <c r="CH11" s="13"/>
      <c r="CI11" s="13"/>
      <c r="CJ11" s="13"/>
    </row>
    <row r="12" spans="1:88" s="9" customFormat="1" x14ac:dyDescent="0.25">
      <c r="A12" s="10"/>
      <c r="B12" s="10"/>
      <c r="C12" s="10"/>
      <c r="D12" s="10"/>
      <c r="E12" s="11"/>
      <c r="F12" s="10"/>
      <c r="G12" s="10"/>
      <c r="H12" s="10"/>
      <c r="I12" s="10"/>
      <c r="J12" s="10"/>
      <c r="K12" s="12"/>
      <c r="L12" s="10"/>
      <c r="M12" s="10"/>
      <c r="N12" s="13"/>
      <c r="O12" s="10"/>
      <c r="P12" s="10"/>
      <c r="Q12" s="10"/>
      <c r="R12" s="18"/>
      <c r="S12" s="10"/>
      <c r="T12" s="10"/>
      <c r="U12" s="13"/>
      <c r="V12" s="13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3"/>
      <c r="AL12" s="14"/>
      <c r="AM12" s="15"/>
      <c r="AN12" s="15"/>
      <c r="AO12" s="13"/>
      <c r="AP12" s="13"/>
      <c r="AQ12" s="16"/>
      <c r="AR12" s="10"/>
      <c r="AS12" s="10"/>
      <c r="AT12" s="10"/>
      <c r="AU12" s="10"/>
      <c r="AV12" s="11"/>
      <c r="AW12" s="11"/>
      <c r="AX12" s="10"/>
      <c r="AY12" s="11"/>
      <c r="AZ12" s="11"/>
      <c r="BA12" s="11"/>
      <c r="BB12" s="10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7"/>
      <c r="CD12" s="17"/>
      <c r="CE12" s="11"/>
      <c r="CF12" s="13"/>
      <c r="CG12" s="13"/>
      <c r="CH12" s="13"/>
      <c r="CI12" s="13"/>
      <c r="CJ12" s="13"/>
    </row>
    <row r="13" spans="1:88" s="9" customFormat="1" x14ac:dyDescent="0.25">
      <c r="A13" s="10"/>
      <c r="B13" s="10"/>
      <c r="C13" s="10"/>
      <c r="D13" s="10"/>
      <c r="E13" s="11"/>
      <c r="F13" s="10"/>
      <c r="G13" s="10"/>
      <c r="H13" s="10"/>
      <c r="I13" s="10"/>
      <c r="J13" s="10"/>
      <c r="K13" s="12"/>
      <c r="L13" s="10"/>
      <c r="M13" s="10"/>
      <c r="N13" s="13"/>
      <c r="O13" s="10"/>
      <c r="P13" s="10"/>
      <c r="Q13" s="10"/>
      <c r="R13" s="18"/>
      <c r="S13" s="10"/>
      <c r="T13" s="10"/>
      <c r="U13" s="13"/>
      <c r="V13" s="13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3"/>
      <c r="AL13" s="14"/>
      <c r="AM13" s="15"/>
      <c r="AN13" s="15"/>
      <c r="AO13" s="13"/>
      <c r="AP13" s="13"/>
      <c r="AQ13" s="16"/>
      <c r="AR13" s="10"/>
      <c r="AS13" s="10"/>
      <c r="AT13" s="10"/>
      <c r="AU13" s="10"/>
      <c r="AV13" s="11"/>
      <c r="AW13" s="11"/>
      <c r="AX13" s="10"/>
      <c r="AY13" s="11"/>
      <c r="AZ13" s="11"/>
      <c r="BA13" s="11"/>
      <c r="BB13" s="10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7"/>
      <c r="CD13" s="17"/>
      <c r="CE13" s="11"/>
      <c r="CF13" s="13"/>
      <c r="CG13" s="13"/>
      <c r="CH13" s="13"/>
      <c r="CI13" s="13"/>
      <c r="CJ13" s="13"/>
    </row>
    <row r="14" spans="1:88" s="9" customFormat="1" x14ac:dyDescent="0.25">
      <c r="A14" s="10"/>
      <c r="B14" s="10"/>
      <c r="C14" s="10"/>
      <c r="D14" s="10"/>
      <c r="E14" s="11"/>
      <c r="F14" s="10"/>
      <c r="G14" s="10"/>
      <c r="H14" s="10"/>
      <c r="I14" s="10"/>
      <c r="J14" s="10"/>
      <c r="K14" s="12"/>
      <c r="L14" s="10"/>
      <c r="M14" s="10"/>
      <c r="N14" s="13"/>
      <c r="O14" s="10"/>
      <c r="P14" s="10"/>
      <c r="Q14" s="10"/>
      <c r="R14" s="18"/>
      <c r="S14" s="10"/>
      <c r="T14" s="10"/>
      <c r="U14" s="13"/>
      <c r="V14" s="13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3"/>
      <c r="AL14" s="14"/>
      <c r="AM14" s="15"/>
      <c r="AN14" s="15"/>
      <c r="AO14" s="13"/>
      <c r="AP14" s="13"/>
      <c r="AQ14" s="16"/>
      <c r="AR14" s="10"/>
      <c r="AS14" s="10"/>
      <c r="AT14" s="10"/>
      <c r="AU14" s="10"/>
      <c r="AV14" s="11"/>
      <c r="AW14" s="11"/>
      <c r="AX14" s="10"/>
      <c r="AY14" s="11"/>
      <c r="AZ14" s="11"/>
      <c r="BA14" s="11"/>
      <c r="BB14" s="10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7"/>
      <c r="CD14" s="17"/>
      <c r="CE14" s="11"/>
      <c r="CF14" s="13"/>
      <c r="CG14" s="13"/>
      <c r="CH14" s="13"/>
      <c r="CI14" s="13"/>
      <c r="CJ14" s="13"/>
    </row>
    <row r="15" spans="1:88" s="9" customFormat="1" x14ac:dyDescent="0.25">
      <c r="A15" s="10"/>
      <c r="B15" s="10"/>
      <c r="C15" s="10"/>
      <c r="D15" s="10"/>
      <c r="E15" s="11"/>
      <c r="F15" s="10"/>
      <c r="G15" s="10"/>
      <c r="H15" s="10"/>
      <c r="I15" s="10"/>
      <c r="J15" s="10"/>
      <c r="K15" s="12"/>
      <c r="L15" s="10"/>
      <c r="M15" s="10"/>
      <c r="N15" s="13"/>
      <c r="O15" s="10"/>
      <c r="P15" s="10"/>
      <c r="Q15" s="10"/>
      <c r="R15" s="18"/>
      <c r="S15" s="10"/>
      <c r="T15" s="10"/>
      <c r="U15" s="13"/>
      <c r="V15" s="13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3"/>
      <c r="AL15" s="14"/>
      <c r="AM15" s="15"/>
      <c r="AN15" s="15"/>
      <c r="AO15" s="13"/>
      <c r="AP15" s="13"/>
      <c r="AQ15" s="16"/>
      <c r="AR15" s="10"/>
      <c r="AS15" s="10"/>
      <c r="AT15" s="10"/>
      <c r="AU15" s="10"/>
      <c r="AV15" s="11"/>
      <c r="AW15" s="11"/>
      <c r="AX15" s="10"/>
      <c r="AY15" s="11"/>
      <c r="AZ15" s="11"/>
      <c r="BA15" s="11"/>
      <c r="BB15" s="10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7"/>
      <c r="CD15" s="17"/>
      <c r="CE15" s="11"/>
      <c r="CF15" s="13"/>
      <c r="CG15" s="13"/>
      <c r="CH15" s="13"/>
      <c r="CI15" s="13"/>
      <c r="CJ15" s="13"/>
    </row>
    <row r="16" spans="1:88" s="9" customFormat="1" x14ac:dyDescent="0.25">
      <c r="A16" s="10"/>
      <c r="B16" s="10"/>
      <c r="C16" s="10"/>
      <c r="D16" s="10"/>
      <c r="E16" s="11"/>
      <c r="F16" s="10"/>
      <c r="G16" s="10"/>
      <c r="H16" s="10"/>
      <c r="I16" s="10"/>
      <c r="J16" s="10"/>
      <c r="K16" s="12"/>
      <c r="L16" s="10"/>
      <c r="M16" s="10"/>
      <c r="N16" s="13"/>
      <c r="O16" s="10"/>
      <c r="P16" s="10"/>
      <c r="Q16" s="10"/>
      <c r="R16" s="18"/>
      <c r="S16" s="10"/>
      <c r="T16" s="10"/>
      <c r="U16" s="13"/>
      <c r="V16" s="13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3"/>
      <c r="AL16" s="14"/>
      <c r="AM16" s="15"/>
      <c r="AN16" s="15"/>
      <c r="AO16" s="13"/>
      <c r="AP16" s="13"/>
      <c r="AQ16" s="16"/>
      <c r="AR16" s="10"/>
      <c r="AS16" s="10"/>
      <c r="AT16" s="10"/>
      <c r="AU16" s="10"/>
      <c r="AV16" s="11"/>
      <c r="AW16" s="11"/>
      <c r="AX16" s="10"/>
      <c r="AY16" s="11"/>
      <c r="AZ16" s="11"/>
      <c r="BA16" s="11"/>
      <c r="BB16" s="10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7"/>
      <c r="CD16" s="17"/>
      <c r="CE16" s="11"/>
      <c r="CF16" s="13"/>
      <c r="CG16" s="13"/>
      <c r="CH16" s="13"/>
      <c r="CI16" s="13"/>
      <c r="CJ16" s="13"/>
    </row>
    <row r="17" spans="1:88" s="9" customFormat="1" x14ac:dyDescent="0.25">
      <c r="A17" s="10"/>
      <c r="B17" s="10"/>
      <c r="C17" s="10"/>
      <c r="D17" s="10"/>
      <c r="E17" s="11"/>
      <c r="F17" s="10"/>
      <c r="G17" s="10"/>
      <c r="H17" s="10"/>
      <c r="I17" s="10"/>
      <c r="J17" s="10"/>
      <c r="K17" s="12"/>
      <c r="L17" s="10"/>
      <c r="M17" s="10"/>
      <c r="N17" s="13"/>
      <c r="O17" s="10"/>
      <c r="P17" s="10"/>
      <c r="Q17" s="10"/>
      <c r="R17" s="18"/>
      <c r="S17" s="10"/>
      <c r="T17" s="10"/>
      <c r="U17" s="13"/>
      <c r="V17" s="13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3"/>
      <c r="AL17" s="14"/>
      <c r="AM17" s="15"/>
      <c r="AN17" s="15"/>
      <c r="AO17" s="13"/>
      <c r="AP17" s="13"/>
      <c r="AQ17" s="16"/>
      <c r="AR17" s="10"/>
      <c r="AS17" s="10"/>
      <c r="AT17" s="10"/>
      <c r="AU17" s="10"/>
      <c r="AV17" s="11"/>
      <c r="AW17" s="11"/>
      <c r="AX17" s="10"/>
      <c r="AY17" s="11"/>
      <c r="AZ17" s="11"/>
      <c r="BA17" s="11"/>
      <c r="BB17" s="10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7"/>
      <c r="CD17" s="17"/>
      <c r="CE17" s="11"/>
      <c r="CF17" s="13"/>
      <c r="CG17" s="13"/>
      <c r="CH17" s="13"/>
      <c r="CI17" s="13"/>
      <c r="CJ17" s="13"/>
    </row>
    <row r="18" spans="1:88" s="9" customFormat="1" x14ac:dyDescent="0.25">
      <c r="A18" s="10"/>
      <c r="B18" s="10"/>
      <c r="C18" s="10"/>
      <c r="D18" s="10"/>
      <c r="E18" s="11"/>
      <c r="F18" s="10"/>
      <c r="G18" s="10"/>
      <c r="H18" s="10"/>
      <c r="I18" s="10"/>
      <c r="J18" s="10"/>
      <c r="K18" s="12"/>
      <c r="L18" s="10"/>
      <c r="M18" s="10"/>
      <c r="N18" s="13"/>
      <c r="O18" s="10"/>
      <c r="P18" s="10"/>
      <c r="Q18" s="10"/>
      <c r="R18" s="18"/>
      <c r="S18" s="10"/>
      <c r="T18" s="10"/>
      <c r="U18" s="13"/>
      <c r="V18" s="13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3"/>
      <c r="AL18" s="14"/>
      <c r="AM18" s="15"/>
      <c r="AN18" s="15"/>
      <c r="AO18" s="13"/>
      <c r="AP18" s="13"/>
      <c r="AQ18" s="16"/>
      <c r="AR18" s="10"/>
      <c r="AS18" s="10"/>
      <c r="AT18" s="10"/>
      <c r="AU18" s="10"/>
      <c r="AV18" s="11"/>
      <c r="AW18" s="11"/>
      <c r="AX18" s="10"/>
      <c r="AY18" s="11"/>
      <c r="AZ18" s="11"/>
      <c r="BA18" s="11"/>
      <c r="BB18" s="10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7"/>
      <c r="CD18" s="17"/>
      <c r="CE18" s="11"/>
      <c r="CF18" s="13"/>
      <c r="CG18" s="13"/>
      <c r="CH18" s="13"/>
      <c r="CI18" s="13"/>
      <c r="CJ18" s="13"/>
    </row>
    <row r="19" spans="1:88" s="9" customFormat="1" x14ac:dyDescent="0.25">
      <c r="A19" s="10"/>
      <c r="B19" s="10"/>
      <c r="C19" s="10"/>
      <c r="D19" s="10"/>
      <c r="E19" s="11"/>
      <c r="F19" s="10"/>
      <c r="G19" s="10"/>
      <c r="H19" s="10"/>
      <c r="I19" s="10"/>
      <c r="J19" s="10"/>
      <c r="K19" s="12"/>
      <c r="L19" s="10"/>
      <c r="M19" s="10"/>
      <c r="N19" s="13"/>
      <c r="O19" s="10"/>
      <c r="P19" s="10"/>
      <c r="Q19" s="10"/>
      <c r="R19" s="18"/>
      <c r="S19" s="10"/>
      <c r="T19" s="10"/>
      <c r="U19" s="13"/>
      <c r="V19" s="13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3"/>
      <c r="AL19" s="14"/>
      <c r="AM19" s="15"/>
      <c r="AN19" s="15"/>
      <c r="AO19" s="13"/>
      <c r="AP19" s="13"/>
      <c r="AQ19" s="16"/>
      <c r="AR19" s="10"/>
      <c r="AS19" s="10"/>
      <c r="AT19" s="10"/>
      <c r="AU19" s="10"/>
      <c r="AV19" s="11"/>
      <c r="AW19" s="11"/>
      <c r="AX19" s="10"/>
      <c r="AY19" s="11"/>
      <c r="AZ19" s="11"/>
      <c r="BA19" s="11"/>
      <c r="BB19" s="10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7"/>
      <c r="CD19" s="17"/>
      <c r="CE19" s="11"/>
      <c r="CF19" s="13"/>
      <c r="CG19" s="13"/>
      <c r="CH19" s="13"/>
      <c r="CI19" s="13"/>
      <c r="CJ19" s="13"/>
    </row>
    <row r="20" spans="1:88" s="9" customFormat="1" x14ac:dyDescent="0.25">
      <c r="A20" s="10"/>
      <c r="B20" s="10"/>
      <c r="C20" s="10"/>
      <c r="D20" s="10"/>
      <c r="E20" s="11"/>
      <c r="F20" s="10"/>
      <c r="G20" s="10"/>
      <c r="H20" s="10"/>
      <c r="I20" s="10"/>
      <c r="J20" s="10"/>
      <c r="K20" s="12"/>
      <c r="L20" s="10"/>
      <c r="M20" s="10"/>
      <c r="N20" s="13"/>
      <c r="O20" s="10"/>
      <c r="P20" s="10"/>
      <c r="Q20" s="10"/>
      <c r="R20" s="18"/>
      <c r="S20" s="10"/>
      <c r="T20" s="10"/>
      <c r="U20" s="13"/>
      <c r="V20" s="13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3"/>
      <c r="AL20" s="14"/>
      <c r="AM20" s="15"/>
      <c r="AN20" s="15"/>
      <c r="AO20" s="13"/>
      <c r="AP20" s="13"/>
      <c r="AQ20" s="16"/>
      <c r="AR20" s="10"/>
      <c r="AS20" s="10"/>
      <c r="AT20" s="10"/>
      <c r="AU20" s="10"/>
      <c r="AV20" s="11"/>
      <c r="AW20" s="11"/>
      <c r="AX20" s="10"/>
      <c r="AY20" s="11"/>
      <c r="AZ20" s="11"/>
      <c r="BA20" s="11"/>
      <c r="BB20" s="10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7"/>
      <c r="CD20" s="17"/>
      <c r="CE20" s="11"/>
      <c r="CF20" s="13"/>
      <c r="CG20" s="13"/>
      <c r="CH20" s="13"/>
      <c r="CI20" s="13"/>
      <c r="CJ20" s="13"/>
    </row>
    <row r="21" spans="1:88" s="9" customFormat="1" x14ac:dyDescent="0.25">
      <c r="A21" s="10"/>
      <c r="B21" s="10"/>
      <c r="C21" s="10"/>
      <c r="D21" s="10"/>
      <c r="E21" s="11"/>
      <c r="F21" s="10"/>
      <c r="G21" s="10"/>
      <c r="H21" s="10"/>
      <c r="I21" s="10"/>
      <c r="J21" s="10"/>
      <c r="K21" s="12"/>
      <c r="L21" s="10"/>
      <c r="M21" s="10"/>
      <c r="N21" s="13"/>
      <c r="O21" s="10"/>
      <c r="P21" s="10"/>
      <c r="Q21" s="10"/>
      <c r="R21" s="18"/>
      <c r="S21" s="10"/>
      <c r="T21" s="10"/>
      <c r="U21" s="13"/>
      <c r="V21" s="13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3"/>
      <c r="AL21" s="14"/>
      <c r="AM21" s="15"/>
      <c r="AN21" s="15"/>
      <c r="AO21" s="13"/>
      <c r="AP21" s="13"/>
      <c r="AQ21" s="16"/>
      <c r="AR21" s="10"/>
      <c r="AS21" s="10"/>
      <c r="AT21" s="10"/>
      <c r="AU21" s="10"/>
      <c r="AV21" s="11"/>
      <c r="AW21" s="11"/>
      <c r="AX21" s="10"/>
      <c r="AY21" s="11"/>
      <c r="AZ21" s="11"/>
      <c r="BA21" s="11"/>
      <c r="BB21" s="10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7"/>
      <c r="CD21" s="17"/>
      <c r="CE21" s="11"/>
      <c r="CF21" s="13"/>
      <c r="CG21" s="13"/>
      <c r="CH21" s="13"/>
      <c r="CI21" s="13"/>
      <c r="CJ21" s="13"/>
    </row>
    <row r="22" spans="1:88" s="9" customFormat="1" x14ac:dyDescent="0.25">
      <c r="A22" s="10"/>
      <c r="B22" s="10"/>
      <c r="C22" s="10"/>
      <c r="D22" s="10"/>
      <c r="E22" s="11"/>
      <c r="F22" s="10"/>
      <c r="G22" s="10"/>
      <c r="H22" s="10"/>
      <c r="I22" s="10"/>
      <c r="J22" s="10"/>
      <c r="K22" s="12"/>
      <c r="L22" s="10"/>
      <c r="M22" s="10"/>
      <c r="N22" s="13"/>
      <c r="O22" s="10"/>
      <c r="P22" s="10"/>
      <c r="Q22" s="10"/>
      <c r="R22" s="18"/>
      <c r="S22" s="10"/>
      <c r="T22" s="10"/>
      <c r="U22" s="13"/>
      <c r="V22" s="13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3"/>
      <c r="AL22" s="14"/>
      <c r="AM22" s="15"/>
      <c r="AN22" s="15"/>
      <c r="AO22" s="13"/>
      <c r="AP22" s="13"/>
      <c r="AQ22" s="16"/>
      <c r="AR22" s="10"/>
      <c r="AS22" s="10"/>
      <c r="AT22" s="10"/>
      <c r="AU22" s="10"/>
      <c r="AV22" s="11"/>
      <c r="AW22" s="11"/>
      <c r="AX22" s="10"/>
      <c r="AY22" s="11"/>
      <c r="AZ22" s="11"/>
      <c r="BA22" s="11"/>
      <c r="BB22" s="10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7"/>
      <c r="CD22" s="17"/>
      <c r="CE22" s="11"/>
      <c r="CF22" s="13"/>
      <c r="CG22" s="13"/>
      <c r="CH22" s="13"/>
      <c r="CI22" s="13"/>
      <c r="CJ22" s="13"/>
    </row>
    <row r="23" spans="1:88" s="9" customFormat="1" x14ac:dyDescent="0.25">
      <c r="A23" s="10"/>
      <c r="B23" s="10"/>
      <c r="C23" s="10"/>
      <c r="D23" s="10"/>
      <c r="E23" s="11"/>
      <c r="F23" s="10"/>
      <c r="G23" s="10"/>
      <c r="H23" s="10"/>
      <c r="I23" s="10"/>
      <c r="J23" s="10"/>
      <c r="K23" s="12"/>
      <c r="L23" s="10"/>
      <c r="M23" s="10"/>
      <c r="N23" s="13"/>
      <c r="O23" s="10"/>
      <c r="P23" s="10"/>
      <c r="Q23" s="10"/>
      <c r="R23" s="18"/>
      <c r="S23" s="10"/>
      <c r="T23" s="10"/>
      <c r="U23" s="13"/>
      <c r="V23" s="13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3"/>
      <c r="AL23" s="14"/>
      <c r="AM23" s="15"/>
      <c r="AN23" s="15"/>
      <c r="AO23" s="13"/>
      <c r="AP23" s="13"/>
      <c r="AQ23" s="16"/>
      <c r="AR23" s="10"/>
      <c r="AS23" s="10"/>
      <c r="AT23" s="10"/>
      <c r="AU23" s="10"/>
      <c r="AV23" s="11"/>
      <c r="AW23" s="11"/>
      <c r="AX23" s="10"/>
      <c r="AY23" s="11"/>
      <c r="AZ23" s="11"/>
      <c r="BA23" s="11"/>
      <c r="BB23" s="10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7"/>
      <c r="CD23" s="17"/>
      <c r="CE23" s="11"/>
      <c r="CF23" s="13"/>
      <c r="CG23" s="13"/>
      <c r="CH23" s="13"/>
      <c r="CI23" s="13"/>
      <c r="CJ23" s="13"/>
    </row>
    <row r="24" spans="1:88" s="9" customFormat="1" x14ac:dyDescent="0.25">
      <c r="A24" s="10"/>
      <c r="B24" s="10"/>
      <c r="C24" s="10"/>
      <c r="D24" s="10"/>
      <c r="E24" s="11"/>
      <c r="F24" s="10"/>
      <c r="G24" s="10"/>
      <c r="H24" s="10"/>
      <c r="I24" s="10"/>
      <c r="J24" s="10"/>
      <c r="K24" s="12"/>
      <c r="L24" s="10"/>
      <c r="M24" s="10"/>
      <c r="N24" s="13"/>
      <c r="O24" s="10"/>
      <c r="P24" s="10"/>
      <c r="Q24" s="10"/>
      <c r="R24" s="18"/>
      <c r="S24" s="10"/>
      <c r="T24" s="10"/>
      <c r="U24" s="13"/>
      <c r="V24" s="13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3"/>
      <c r="AL24" s="14"/>
      <c r="AM24" s="15"/>
      <c r="AN24" s="15"/>
      <c r="AO24" s="13"/>
      <c r="AP24" s="13"/>
      <c r="AQ24" s="16"/>
      <c r="AR24" s="10"/>
      <c r="AS24" s="10"/>
      <c r="AT24" s="10"/>
      <c r="AU24" s="10"/>
      <c r="AV24" s="11"/>
      <c r="AW24" s="11"/>
      <c r="AX24" s="10"/>
      <c r="AY24" s="11"/>
      <c r="AZ24" s="11"/>
      <c r="BA24" s="11"/>
      <c r="BB24" s="10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7"/>
      <c r="CD24" s="17"/>
      <c r="CE24" s="11"/>
      <c r="CF24" s="13"/>
      <c r="CG24" s="13"/>
      <c r="CH24" s="13"/>
      <c r="CI24" s="13"/>
      <c r="CJ24" s="13"/>
    </row>
    <row r="25" spans="1:88" s="9" customFormat="1" x14ac:dyDescent="0.25">
      <c r="A25" s="10"/>
      <c r="B25" s="10"/>
      <c r="C25" s="10"/>
      <c r="D25" s="10"/>
      <c r="E25" s="11"/>
      <c r="F25" s="10"/>
      <c r="G25" s="10"/>
      <c r="H25" s="10"/>
      <c r="I25" s="10"/>
      <c r="J25" s="10"/>
      <c r="K25" s="12"/>
      <c r="L25" s="10"/>
      <c r="M25" s="10"/>
      <c r="N25" s="13"/>
      <c r="O25" s="10"/>
      <c r="P25" s="10"/>
      <c r="Q25" s="10"/>
      <c r="R25" s="18"/>
      <c r="S25" s="10"/>
      <c r="T25" s="10"/>
      <c r="U25" s="13"/>
      <c r="V25" s="13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3"/>
      <c r="AL25" s="14"/>
      <c r="AM25" s="15"/>
      <c r="AN25" s="15"/>
      <c r="AO25" s="13"/>
      <c r="AP25" s="13"/>
      <c r="AQ25" s="16"/>
      <c r="AR25" s="10"/>
      <c r="AS25" s="10"/>
      <c r="AT25" s="10"/>
      <c r="AU25" s="10"/>
      <c r="AV25" s="11"/>
      <c r="AW25" s="11"/>
      <c r="AX25" s="10"/>
      <c r="AY25" s="11"/>
      <c r="AZ25" s="11"/>
      <c r="BA25" s="11"/>
      <c r="BB25" s="10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7"/>
      <c r="CD25" s="17"/>
      <c r="CE25" s="11"/>
      <c r="CF25" s="13"/>
      <c r="CG25" s="13"/>
      <c r="CH25" s="13"/>
      <c r="CI25" s="13"/>
      <c r="CJ25" s="13"/>
    </row>
    <row r="26" spans="1:88" s="9" customFormat="1" x14ac:dyDescent="0.25">
      <c r="A26" s="10"/>
      <c r="B26" s="10"/>
      <c r="C26" s="10"/>
      <c r="D26" s="10"/>
      <c r="E26" s="11"/>
      <c r="F26" s="10"/>
      <c r="G26" s="10"/>
      <c r="H26" s="10"/>
      <c r="I26" s="10"/>
      <c r="J26" s="10"/>
      <c r="K26" s="12"/>
      <c r="L26" s="10"/>
      <c r="M26" s="10"/>
      <c r="N26" s="13"/>
      <c r="O26" s="10"/>
      <c r="P26" s="10"/>
      <c r="Q26" s="10"/>
      <c r="R26" s="18"/>
      <c r="S26" s="10"/>
      <c r="T26" s="10"/>
      <c r="U26" s="13"/>
      <c r="V26" s="13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3"/>
      <c r="AL26" s="14"/>
      <c r="AM26" s="15"/>
      <c r="AN26" s="15"/>
      <c r="AO26" s="13"/>
      <c r="AP26" s="13"/>
      <c r="AQ26" s="16"/>
      <c r="AR26" s="10"/>
      <c r="AS26" s="10"/>
      <c r="AT26" s="10"/>
      <c r="AU26" s="10"/>
      <c r="AV26" s="11"/>
      <c r="AW26" s="11"/>
      <c r="AX26" s="10"/>
      <c r="AY26" s="11"/>
      <c r="AZ26" s="11"/>
      <c r="BA26" s="11"/>
      <c r="BB26" s="10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7"/>
      <c r="CD26" s="17"/>
      <c r="CE26" s="11"/>
      <c r="CF26" s="13"/>
      <c r="CG26" s="13"/>
      <c r="CH26" s="13"/>
      <c r="CI26" s="13"/>
      <c r="CJ26" s="13"/>
    </row>
    <row r="27" spans="1:88" s="9" customFormat="1" x14ac:dyDescent="0.25">
      <c r="A27" s="10"/>
      <c r="B27" s="10"/>
      <c r="C27" s="10"/>
      <c r="D27" s="10"/>
      <c r="E27" s="11"/>
      <c r="F27" s="10"/>
      <c r="G27" s="10"/>
      <c r="H27" s="10"/>
      <c r="I27" s="10"/>
      <c r="J27" s="10"/>
      <c r="K27" s="12"/>
      <c r="L27" s="10"/>
      <c r="M27" s="10"/>
      <c r="N27" s="13"/>
      <c r="O27" s="10"/>
      <c r="P27" s="10"/>
      <c r="Q27" s="10"/>
      <c r="R27" s="18"/>
      <c r="S27" s="10"/>
      <c r="T27" s="10"/>
      <c r="U27" s="13"/>
      <c r="V27" s="13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3"/>
      <c r="AL27" s="14"/>
      <c r="AM27" s="15"/>
      <c r="AN27" s="15"/>
      <c r="AO27" s="13"/>
      <c r="AP27" s="13"/>
      <c r="AQ27" s="16"/>
      <c r="AR27" s="10"/>
      <c r="AS27" s="10"/>
      <c r="AT27" s="10"/>
      <c r="AU27" s="10"/>
      <c r="AV27" s="11"/>
      <c r="AW27" s="11"/>
      <c r="AX27" s="10"/>
      <c r="AY27" s="11"/>
      <c r="AZ27" s="11"/>
      <c r="BA27" s="11"/>
      <c r="BB27" s="10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7"/>
      <c r="CD27" s="17"/>
      <c r="CE27" s="11"/>
      <c r="CF27" s="13"/>
      <c r="CG27" s="13"/>
      <c r="CH27" s="13"/>
      <c r="CI27" s="13"/>
      <c r="CJ27" s="13"/>
    </row>
    <row r="28" spans="1:88" s="9" customFormat="1" x14ac:dyDescent="0.25">
      <c r="A28" s="10"/>
      <c r="B28" s="10"/>
      <c r="C28" s="10"/>
      <c r="D28" s="10"/>
      <c r="E28" s="11"/>
      <c r="F28" s="10"/>
      <c r="G28" s="10"/>
      <c r="H28" s="10"/>
      <c r="I28" s="10"/>
      <c r="J28" s="10"/>
      <c r="K28" s="12"/>
      <c r="L28" s="10"/>
      <c r="M28" s="10"/>
      <c r="N28" s="13"/>
      <c r="O28" s="10"/>
      <c r="P28" s="10"/>
      <c r="Q28" s="10"/>
      <c r="R28" s="18"/>
      <c r="S28" s="10"/>
      <c r="T28" s="10"/>
      <c r="U28" s="13"/>
      <c r="V28" s="13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3"/>
      <c r="AL28" s="14"/>
      <c r="AM28" s="15"/>
      <c r="AN28" s="15"/>
      <c r="AO28" s="13"/>
      <c r="AP28" s="13"/>
      <c r="AQ28" s="16"/>
      <c r="AR28" s="10"/>
      <c r="AS28" s="10"/>
      <c r="AT28" s="10"/>
      <c r="AU28" s="10"/>
      <c r="AV28" s="11"/>
      <c r="AW28" s="11"/>
      <c r="AX28" s="10"/>
      <c r="AY28" s="11"/>
      <c r="AZ28" s="11"/>
      <c r="BA28" s="11"/>
      <c r="BB28" s="10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7"/>
      <c r="CD28" s="17"/>
      <c r="CE28" s="11"/>
      <c r="CF28" s="13"/>
      <c r="CG28" s="13"/>
      <c r="CH28" s="13"/>
      <c r="CI28" s="13"/>
      <c r="CJ28" s="13"/>
    </row>
    <row r="29" spans="1:88" s="9" customFormat="1" x14ac:dyDescent="0.25">
      <c r="A29" s="10"/>
      <c r="B29" s="10"/>
      <c r="C29" s="10"/>
      <c r="D29" s="10"/>
      <c r="E29" s="11"/>
      <c r="F29" s="10"/>
      <c r="G29" s="10"/>
      <c r="H29" s="10"/>
      <c r="I29" s="10"/>
      <c r="J29" s="10"/>
      <c r="K29" s="12"/>
      <c r="L29" s="10"/>
      <c r="M29" s="10"/>
      <c r="N29" s="13"/>
      <c r="O29" s="10"/>
      <c r="P29" s="10"/>
      <c r="Q29" s="10"/>
      <c r="R29" s="18"/>
      <c r="S29" s="10"/>
      <c r="T29" s="10"/>
      <c r="U29" s="13"/>
      <c r="V29" s="13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3"/>
      <c r="AL29" s="14"/>
      <c r="AM29" s="15"/>
      <c r="AN29" s="15"/>
      <c r="AO29" s="13"/>
      <c r="AP29" s="13"/>
      <c r="AQ29" s="16"/>
      <c r="AR29" s="10"/>
      <c r="AS29" s="10"/>
      <c r="AT29" s="10"/>
      <c r="AU29" s="10"/>
      <c r="AV29" s="11"/>
      <c r="AW29" s="11"/>
      <c r="AX29" s="10"/>
      <c r="AY29" s="11"/>
      <c r="AZ29" s="11"/>
      <c r="BA29" s="11"/>
      <c r="BB29" s="10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7"/>
      <c r="CD29" s="17"/>
      <c r="CE29" s="11"/>
      <c r="CF29" s="13"/>
      <c r="CG29" s="13"/>
      <c r="CH29" s="13"/>
      <c r="CI29" s="13"/>
      <c r="CJ29" s="13"/>
    </row>
    <row r="30" spans="1:88" s="9" customFormat="1" x14ac:dyDescent="0.25">
      <c r="A30" s="10"/>
      <c r="B30" s="10"/>
      <c r="C30" s="10"/>
      <c r="D30" s="10"/>
      <c r="E30" s="11"/>
      <c r="F30" s="10"/>
      <c r="G30" s="10"/>
      <c r="H30" s="10"/>
      <c r="I30" s="10"/>
      <c r="J30" s="10"/>
      <c r="K30" s="12"/>
      <c r="L30" s="10"/>
      <c r="M30" s="10"/>
      <c r="N30" s="13"/>
      <c r="O30" s="10"/>
      <c r="P30" s="10"/>
      <c r="Q30" s="10"/>
      <c r="R30" s="18"/>
      <c r="S30" s="10"/>
      <c r="T30" s="10"/>
      <c r="U30" s="13"/>
      <c r="V30" s="13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3"/>
      <c r="AL30" s="14"/>
      <c r="AM30" s="15"/>
      <c r="AN30" s="15"/>
      <c r="AO30" s="13"/>
      <c r="AP30" s="13"/>
      <c r="AQ30" s="16"/>
      <c r="AR30" s="10"/>
      <c r="AS30" s="10"/>
      <c r="AT30" s="10"/>
      <c r="AU30" s="10"/>
      <c r="AV30" s="11"/>
      <c r="AW30" s="11"/>
      <c r="AX30" s="10"/>
      <c r="AY30" s="11"/>
      <c r="AZ30" s="11"/>
      <c r="BA30" s="11"/>
      <c r="BB30" s="10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7"/>
      <c r="CD30" s="17"/>
      <c r="CE30" s="11"/>
      <c r="CF30" s="13"/>
      <c r="CG30" s="13"/>
      <c r="CH30" s="13"/>
      <c r="CI30" s="13"/>
      <c r="CJ30" s="13"/>
    </row>
    <row r="31" spans="1:88" s="9" customFormat="1" x14ac:dyDescent="0.25">
      <c r="A31" s="10"/>
      <c r="B31" s="10"/>
      <c r="C31" s="10"/>
      <c r="D31" s="10"/>
      <c r="E31" s="11"/>
      <c r="F31" s="10"/>
      <c r="G31" s="10"/>
      <c r="H31" s="10"/>
      <c r="I31" s="10"/>
      <c r="J31" s="10"/>
      <c r="K31" s="12"/>
      <c r="L31" s="10"/>
      <c r="M31" s="10"/>
      <c r="N31" s="13"/>
      <c r="O31" s="10"/>
      <c r="P31" s="10"/>
      <c r="Q31" s="10"/>
      <c r="R31" s="18"/>
      <c r="S31" s="10"/>
      <c r="T31" s="10"/>
      <c r="U31" s="13"/>
      <c r="V31" s="13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3"/>
      <c r="AL31" s="14"/>
      <c r="AM31" s="15"/>
      <c r="AN31" s="15"/>
      <c r="AO31" s="13"/>
      <c r="AP31" s="13"/>
      <c r="AQ31" s="16"/>
      <c r="AR31" s="10"/>
      <c r="AS31" s="10"/>
      <c r="AT31" s="10"/>
      <c r="AU31" s="10"/>
      <c r="AV31" s="11"/>
      <c r="AW31" s="11"/>
      <c r="AX31" s="10"/>
      <c r="AY31" s="11"/>
      <c r="AZ31" s="11"/>
      <c r="BA31" s="11"/>
      <c r="BB31" s="10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7"/>
      <c r="CD31" s="17"/>
      <c r="CE31" s="11"/>
      <c r="CF31" s="13"/>
      <c r="CG31" s="13"/>
      <c r="CH31" s="13"/>
      <c r="CI31" s="13"/>
      <c r="CJ31" s="13"/>
    </row>
    <row r="32" spans="1:88" s="9" customFormat="1" x14ac:dyDescent="0.25">
      <c r="A32" s="10"/>
      <c r="B32" s="10"/>
      <c r="C32" s="10"/>
      <c r="D32" s="10"/>
      <c r="E32" s="11"/>
      <c r="F32" s="10"/>
      <c r="G32" s="10"/>
      <c r="H32" s="10"/>
      <c r="I32" s="10"/>
      <c r="J32" s="10"/>
      <c r="K32" s="12"/>
      <c r="L32" s="10"/>
      <c r="M32" s="10"/>
      <c r="N32" s="13"/>
      <c r="O32" s="10"/>
      <c r="P32" s="10"/>
      <c r="Q32" s="10"/>
      <c r="R32" s="18"/>
      <c r="S32" s="10"/>
      <c r="T32" s="10"/>
      <c r="U32" s="13"/>
      <c r="V32" s="13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3"/>
      <c r="AL32" s="14"/>
      <c r="AM32" s="15"/>
      <c r="AN32" s="15"/>
      <c r="AO32" s="13"/>
      <c r="AP32" s="13"/>
      <c r="AQ32" s="16"/>
      <c r="AR32" s="10"/>
      <c r="AS32" s="10"/>
      <c r="AT32" s="10"/>
      <c r="AU32" s="10"/>
      <c r="AV32" s="11"/>
      <c r="AW32" s="11"/>
      <c r="AX32" s="10"/>
      <c r="AY32" s="11"/>
      <c r="AZ32" s="11"/>
      <c r="BA32" s="11"/>
      <c r="BB32" s="10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7"/>
      <c r="CD32" s="17"/>
      <c r="CE32" s="11"/>
      <c r="CF32" s="13"/>
      <c r="CG32" s="13"/>
      <c r="CH32" s="13"/>
      <c r="CI32" s="13"/>
      <c r="CJ32" s="13"/>
    </row>
    <row r="33" spans="1:88" s="9" customFormat="1" x14ac:dyDescent="0.25">
      <c r="A33" s="10"/>
      <c r="B33" s="10"/>
      <c r="C33" s="10"/>
      <c r="D33" s="10"/>
      <c r="E33" s="11"/>
      <c r="F33" s="10"/>
      <c r="G33" s="10"/>
      <c r="H33" s="10"/>
      <c r="I33" s="10"/>
      <c r="J33" s="10"/>
      <c r="K33" s="12"/>
      <c r="L33" s="10"/>
      <c r="M33" s="10"/>
      <c r="N33" s="13"/>
      <c r="O33" s="10"/>
      <c r="P33" s="10"/>
      <c r="Q33" s="10"/>
      <c r="R33" s="18"/>
      <c r="S33" s="10"/>
      <c r="T33" s="10"/>
      <c r="U33" s="13"/>
      <c r="V33" s="13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3"/>
      <c r="AL33" s="14"/>
      <c r="AM33" s="15"/>
      <c r="AN33" s="15"/>
      <c r="AO33" s="13"/>
      <c r="AP33" s="13"/>
      <c r="AQ33" s="16"/>
      <c r="AR33" s="10"/>
      <c r="AS33" s="10"/>
      <c r="AT33" s="10"/>
      <c r="AU33" s="10"/>
      <c r="AV33" s="11"/>
      <c r="AW33" s="11"/>
      <c r="AX33" s="10"/>
      <c r="AY33" s="11"/>
      <c r="AZ33" s="11"/>
      <c r="BA33" s="11"/>
      <c r="BB33" s="10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7"/>
      <c r="CD33" s="17"/>
      <c r="CE33" s="11"/>
      <c r="CF33" s="13"/>
      <c r="CG33" s="13"/>
      <c r="CH33" s="13"/>
      <c r="CI33" s="13"/>
      <c r="CJ33" s="13"/>
    </row>
    <row r="34" spans="1:88" s="9" customFormat="1" x14ac:dyDescent="0.25">
      <c r="A34" s="10"/>
      <c r="B34" s="10"/>
      <c r="C34" s="10"/>
      <c r="D34" s="10"/>
      <c r="E34" s="11"/>
      <c r="F34" s="10"/>
      <c r="G34" s="10"/>
      <c r="H34" s="10"/>
      <c r="I34" s="10"/>
      <c r="J34" s="10"/>
      <c r="K34" s="12"/>
      <c r="L34" s="10"/>
      <c r="M34" s="10"/>
      <c r="N34" s="13"/>
      <c r="O34" s="10"/>
      <c r="P34" s="10"/>
      <c r="Q34" s="10"/>
      <c r="R34" s="18"/>
      <c r="S34" s="10"/>
      <c r="T34" s="10"/>
      <c r="U34" s="13"/>
      <c r="V34" s="13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3"/>
      <c r="AL34" s="14"/>
      <c r="AM34" s="15"/>
      <c r="AN34" s="15"/>
      <c r="AO34" s="13"/>
      <c r="AP34" s="13"/>
      <c r="AQ34" s="16"/>
      <c r="AR34" s="10"/>
      <c r="AS34" s="10"/>
      <c r="AT34" s="10"/>
      <c r="AU34" s="10"/>
      <c r="AV34" s="11"/>
      <c r="AW34" s="11"/>
      <c r="AX34" s="10"/>
      <c r="AY34" s="11"/>
      <c r="AZ34" s="11"/>
      <c r="BA34" s="11"/>
      <c r="BB34" s="10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7"/>
      <c r="CD34" s="17"/>
      <c r="CE34" s="11"/>
      <c r="CF34" s="13"/>
      <c r="CG34" s="13"/>
      <c r="CH34" s="13"/>
      <c r="CI34" s="13"/>
      <c r="CJ34" s="13"/>
    </row>
    <row r="35" spans="1:88" s="9" customFormat="1" x14ac:dyDescent="0.25">
      <c r="A35" s="10"/>
      <c r="B35" s="10"/>
      <c r="C35" s="10"/>
      <c r="D35" s="10"/>
      <c r="E35" s="11"/>
      <c r="F35" s="10"/>
      <c r="G35" s="10"/>
      <c r="H35" s="10"/>
      <c r="I35" s="10"/>
      <c r="J35" s="10"/>
      <c r="K35" s="12"/>
      <c r="L35" s="10"/>
      <c r="M35" s="10"/>
      <c r="N35" s="13"/>
      <c r="O35" s="10"/>
      <c r="P35" s="10"/>
      <c r="Q35" s="10"/>
      <c r="R35" s="18"/>
      <c r="S35" s="10"/>
      <c r="T35" s="10"/>
      <c r="U35" s="13"/>
      <c r="V35" s="13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3"/>
      <c r="AL35" s="14"/>
      <c r="AM35" s="15"/>
      <c r="AN35" s="15"/>
      <c r="AO35" s="13"/>
      <c r="AP35" s="13"/>
      <c r="AQ35" s="16"/>
      <c r="AR35" s="10"/>
      <c r="AS35" s="10"/>
      <c r="AT35" s="10"/>
      <c r="AU35" s="10"/>
      <c r="AV35" s="11"/>
      <c r="AW35" s="11"/>
      <c r="AX35" s="10"/>
      <c r="AY35" s="11"/>
      <c r="AZ35" s="11"/>
      <c r="BA35" s="11"/>
      <c r="BB35" s="10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7"/>
      <c r="CD35" s="17"/>
      <c r="CE35" s="11"/>
      <c r="CF35" s="13"/>
      <c r="CG35" s="13"/>
      <c r="CH35" s="13"/>
      <c r="CI35" s="13"/>
      <c r="CJ35" s="13"/>
    </row>
    <row r="36" spans="1:88" s="9" customFormat="1" x14ac:dyDescent="0.25">
      <c r="A36" s="10"/>
      <c r="B36" s="10"/>
      <c r="C36" s="10"/>
      <c r="D36" s="10"/>
      <c r="E36" s="11"/>
      <c r="F36" s="10"/>
      <c r="G36" s="10"/>
      <c r="H36" s="10"/>
      <c r="I36" s="10"/>
      <c r="J36" s="10"/>
      <c r="K36" s="12"/>
      <c r="L36" s="10"/>
      <c r="M36" s="10"/>
      <c r="N36" s="13"/>
      <c r="O36" s="10"/>
      <c r="P36" s="10"/>
      <c r="Q36" s="10"/>
      <c r="R36" s="18"/>
      <c r="S36" s="10"/>
      <c r="T36" s="10"/>
      <c r="U36" s="13"/>
      <c r="V36" s="13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3"/>
      <c r="AL36" s="14"/>
      <c r="AM36" s="15"/>
      <c r="AN36" s="15"/>
      <c r="AO36" s="13"/>
      <c r="AP36" s="13"/>
      <c r="AQ36" s="16"/>
      <c r="AR36" s="10"/>
      <c r="AS36" s="10"/>
      <c r="AT36" s="10"/>
      <c r="AU36" s="10"/>
      <c r="AV36" s="11"/>
      <c r="AW36" s="11"/>
      <c r="AX36" s="10"/>
      <c r="AY36" s="11"/>
      <c r="AZ36" s="11"/>
      <c r="BA36" s="11"/>
      <c r="BB36" s="10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7"/>
      <c r="CD36" s="17"/>
      <c r="CE36" s="11"/>
      <c r="CF36" s="13"/>
      <c r="CG36" s="13"/>
      <c r="CH36" s="13"/>
      <c r="CI36" s="13"/>
      <c r="CJ36" s="13"/>
    </row>
    <row r="37" spans="1:88" s="9" customFormat="1" x14ac:dyDescent="0.25">
      <c r="A37" s="10"/>
      <c r="B37" s="10"/>
      <c r="C37" s="10"/>
      <c r="D37" s="10"/>
      <c r="E37" s="11"/>
      <c r="F37" s="10"/>
      <c r="G37" s="10"/>
      <c r="H37" s="10"/>
      <c r="I37" s="10"/>
      <c r="J37" s="10"/>
      <c r="K37" s="12"/>
      <c r="L37" s="10"/>
      <c r="M37" s="10"/>
      <c r="N37" s="13"/>
      <c r="O37" s="10"/>
      <c r="P37" s="10"/>
      <c r="Q37" s="10"/>
      <c r="R37" s="18"/>
      <c r="S37" s="10"/>
      <c r="T37" s="10"/>
      <c r="U37" s="13"/>
      <c r="V37" s="13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3"/>
      <c r="AL37" s="14"/>
      <c r="AM37" s="15"/>
      <c r="AN37" s="15"/>
      <c r="AO37" s="13"/>
      <c r="AP37" s="13"/>
      <c r="AQ37" s="16"/>
      <c r="AR37" s="10"/>
      <c r="AS37" s="10"/>
      <c r="AT37" s="10"/>
      <c r="AU37" s="10"/>
      <c r="AV37" s="11"/>
      <c r="AW37" s="11"/>
      <c r="AX37" s="10"/>
      <c r="AY37" s="11"/>
      <c r="AZ37" s="11"/>
      <c r="BA37" s="11"/>
      <c r="BB37" s="10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7"/>
      <c r="CD37" s="17"/>
      <c r="CE37" s="11"/>
      <c r="CF37" s="13"/>
      <c r="CG37" s="13"/>
      <c r="CH37" s="13"/>
      <c r="CI37" s="13"/>
      <c r="CJ37" s="13"/>
    </row>
    <row r="38" spans="1:88" s="9" customFormat="1" x14ac:dyDescent="0.25">
      <c r="A38" s="10"/>
      <c r="B38" s="10"/>
      <c r="C38" s="10"/>
      <c r="D38" s="10"/>
      <c r="E38" s="11"/>
      <c r="F38" s="10"/>
      <c r="G38" s="10"/>
      <c r="H38" s="10"/>
      <c r="I38" s="10"/>
      <c r="J38" s="10"/>
      <c r="K38" s="12"/>
      <c r="L38" s="10"/>
      <c r="M38" s="10"/>
      <c r="N38" s="13"/>
      <c r="O38" s="10"/>
      <c r="P38" s="10"/>
      <c r="Q38" s="10"/>
      <c r="R38" s="18"/>
      <c r="S38" s="10"/>
      <c r="T38" s="10"/>
      <c r="U38" s="13"/>
      <c r="V38" s="13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3"/>
      <c r="AL38" s="14"/>
      <c r="AM38" s="15"/>
      <c r="AN38" s="15"/>
      <c r="AO38" s="13"/>
      <c r="AP38" s="13"/>
      <c r="AQ38" s="16"/>
      <c r="AR38" s="10"/>
      <c r="AS38" s="10"/>
      <c r="AT38" s="10"/>
      <c r="AU38" s="10"/>
      <c r="AV38" s="11"/>
      <c r="AW38" s="11"/>
      <c r="AX38" s="10"/>
      <c r="AY38" s="11"/>
      <c r="AZ38" s="11"/>
      <c r="BA38" s="11"/>
      <c r="BB38" s="10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7"/>
      <c r="CD38" s="17"/>
      <c r="CE38" s="11"/>
      <c r="CF38" s="13"/>
      <c r="CG38" s="13"/>
      <c r="CH38" s="13"/>
      <c r="CI38" s="13"/>
      <c r="CJ38" s="13"/>
    </row>
    <row r="39" spans="1:88" s="9" customFormat="1" x14ac:dyDescent="0.25">
      <c r="A39" s="10"/>
      <c r="B39" s="10"/>
      <c r="C39" s="10"/>
      <c r="D39" s="10"/>
      <c r="E39" s="11"/>
      <c r="F39" s="10"/>
      <c r="G39" s="10"/>
      <c r="H39" s="10"/>
      <c r="I39" s="10"/>
      <c r="J39" s="10"/>
      <c r="K39" s="12"/>
      <c r="L39" s="10"/>
      <c r="M39" s="10"/>
      <c r="N39" s="13"/>
      <c r="O39" s="10"/>
      <c r="P39" s="10"/>
      <c r="Q39" s="10"/>
      <c r="R39" s="18"/>
      <c r="S39" s="10"/>
      <c r="T39" s="10"/>
      <c r="U39" s="13"/>
      <c r="V39" s="13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3"/>
      <c r="AL39" s="14"/>
      <c r="AM39" s="15"/>
      <c r="AN39" s="15"/>
      <c r="AO39" s="13"/>
      <c r="AP39" s="13"/>
      <c r="AQ39" s="16"/>
      <c r="AR39" s="10"/>
      <c r="AS39" s="10"/>
      <c r="AT39" s="10"/>
      <c r="AU39" s="10"/>
      <c r="AV39" s="11"/>
      <c r="AW39" s="11"/>
      <c r="AX39" s="10"/>
      <c r="AY39" s="11"/>
      <c r="AZ39" s="11"/>
      <c r="BA39" s="11"/>
      <c r="BB39" s="10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7"/>
      <c r="CD39" s="17"/>
      <c r="CE39" s="11"/>
      <c r="CF39" s="13"/>
      <c r="CG39" s="13"/>
      <c r="CH39" s="13"/>
      <c r="CI39" s="13"/>
      <c r="CJ39" s="13"/>
    </row>
    <row r="40" spans="1:88" s="9" customFormat="1" x14ac:dyDescent="0.25">
      <c r="A40" s="10"/>
      <c r="B40" s="10"/>
      <c r="C40" s="10"/>
      <c r="D40" s="10"/>
      <c r="E40" s="11"/>
      <c r="F40" s="10"/>
      <c r="G40" s="10"/>
      <c r="H40" s="10"/>
      <c r="I40" s="10"/>
      <c r="J40" s="10"/>
      <c r="K40" s="12"/>
      <c r="L40" s="10"/>
      <c r="M40" s="10"/>
      <c r="N40" s="13"/>
      <c r="O40" s="10"/>
      <c r="P40" s="10"/>
      <c r="Q40" s="10"/>
      <c r="R40" s="18"/>
      <c r="S40" s="10"/>
      <c r="T40" s="10"/>
      <c r="U40" s="13"/>
      <c r="V40" s="13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3"/>
      <c r="AL40" s="14"/>
      <c r="AM40" s="15"/>
      <c r="AN40" s="15"/>
      <c r="AO40" s="13"/>
      <c r="AP40" s="13"/>
      <c r="AQ40" s="16"/>
      <c r="AR40" s="10"/>
      <c r="AS40" s="10"/>
      <c r="AT40" s="10"/>
      <c r="AU40" s="10"/>
      <c r="AV40" s="11"/>
      <c r="AW40" s="11"/>
      <c r="AX40" s="10"/>
      <c r="AY40" s="11"/>
      <c r="AZ40" s="11"/>
      <c r="BA40" s="11"/>
      <c r="BB40" s="10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7"/>
      <c r="CD40" s="17"/>
      <c r="CE40" s="11"/>
      <c r="CF40" s="13"/>
      <c r="CG40" s="13"/>
      <c r="CH40" s="13"/>
      <c r="CI40" s="13"/>
      <c r="CJ40" s="13"/>
    </row>
    <row r="41" spans="1:88" s="9" customFormat="1" x14ac:dyDescent="0.25">
      <c r="A41" s="10"/>
      <c r="B41" s="10"/>
      <c r="C41" s="10"/>
      <c r="D41" s="10"/>
      <c r="E41" s="11"/>
      <c r="F41" s="10"/>
      <c r="G41" s="10"/>
      <c r="H41" s="10"/>
      <c r="I41" s="10"/>
      <c r="J41" s="10"/>
      <c r="K41" s="12"/>
      <c r="L41" s="10"/>
      <c r="M41" s="10"/>
      <c r="N41" s="13"/>
      <c r="O41" s="10"/>
      <c r="P41" s="10"/>
      <c r="Q41" s="10"/>
      <c r="R41" s="18"/>
      <c r="S41" s="10"/>
      <c r="T41" s="10"/>
      <c r="U41" s="13"/>
      <c r="V41" s="13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3"/>
      <c r="AL41" s="14"/>
      <c r="AM41" s="15"/>
      <c r="AN41" s="15"/>
      <c r="AO41" s="13"/>
      <c r="AP41" s="13"/>
      <c r="AQ41" s="16"/>
      <c r="AR41" s="10"/>
      <c r="AS41" s="10"/>
      <c r="AT41" s="10"/>
      <c r="AU41" s="10"/>
      <c r="AV41" s="11"/>
      <c r="AW41" s="11"/>
      <c r="AX41" s="10"/>
      <c r="AY41" s="11"/>
      <c r="AZ41" s="11"/>
      <c r="BA41" s="11"/>
      <c r="BB41" s="10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7"/>
      <c r="CD41" s="17"/>
      <c r="CE41" s="11"/>
      <c r="CF41" s="13"/>
      <c r="CG41" s="13"/>
      <c r="CH41" s="13"/>
      <c r="CI41" s="13"/>
      <c r="CJ41" s="13"/>
    </row>
    <row r="42" spans="1:88" s="9" customFormat="1" x14ac:dyDescent="0.25">
      <c r="A42" s="10"/>
      <c r="B42" s="10"/>
      <c r="C42" s="10"/>
      <c r="D42" s="10"/>
      <c r="E42" s="11"/>
      <c r="F42" s="10"/>
      <c r="G42" s="10"/>
      <c r="H42" s="10"/>
      <c r="I42" s="10"/>
      <c r="J42" s="10"/>
      <c r="K42" s="12"/>
      <c r="L42" s="10"/>
      <c r="M42" s="10"/>
      <c r="N42" s="13"/>
      <c r="O42" s="10"/>
      <c r="P42" s="10"/>
      <c r="Q42" s="10"/>
      <c r="R42" s="18"/>
      <c r="S42" s="10"/>
      <c r="T42" s="10"/>
      <c r="U42" s="13"/>
      <c r="V42" s="13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3"/>
      <c r="AL42" s="14"/>
      <c r="AM42" s="15"/>
      <c r="AN42" s="15"/>
      <c r="AO42" s="13"/>
      <c r="AP42" s="13"/>
      <c r="AQ42" s="16"/>
      <c r="AR42" s="10"/>
      <c r="AS42" s="10"/>
      <c r="AT42" s="10"/>
      <c r="AU42" s="10"/>
      <c r="AV42" s="11"/>
      <c r="AW42" s="11"/>
      <c r="AX42" s="10"/>
      <c r="AY42" s="11"/>
      <c r="AZ42" s="11"/>
      <c r="BA42" s="11"/>
      <c r="BB42" s="10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7"/>
      <c r="CD42" s="17"/>
      <c r="CE42" s="11"/>
      <c r="CF42" s="13"/>
      <c r="CG42" s="13"/>
      <c r="CH42" s="13"/>
      <c r="CI42" s="13"/>
      <c r="CJ42" s="13"/>
    </row>
    <row r="43" spans="1:88" s="9" customFormat="1" x14ac:dyDescent="0.25">
      <c r="A43" s="10"/>
      <c r="B43" s="10"/>
      <c r="C43" s="10"/>
      <c r="D43" s="10"/>
      <c r="E43" s="11"/>
      <c r="F43" s="10"/>
      <c r="G43" s="10"/>
      <c r="H43" s="10"/>
      <c r="I43" s="10"/>
      <c r="J43" s="10"/>
      <c r="K43" s="12"/>
      <c r="L43" s="10"/>
      <c r="M43" s="10"/>
      <c r="N43" s="13"/>
      <c r="O43" s="10"/>
      <c r="P43" s="10"/>
      <c r="Q43" s="10"/>
      <c r="R43" s="18"/>
      <c r="S43" s="10"/>
      <c r="T43" s="10"/>
      <c r="U43" s="13"/>
      <c r="V43" s="13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3"/>
      <c r="AL43" s="14"/>
      <c r="AM43" s="15"/>
      <c r="AN43" s="15"/>
      <c r="AO43" s="13"/>
      <c r="AP43" s="13"/>
      <c r="AQ43" s="16"/>
      <c r="AR43" s="10"/>
      <c r="AS43" s="10"/>
      <c r="AT43" s="10"/>
      <c r="AU43" s="10"/>
      <c r="AV43" s="11"/>
      <c r="AW43" s="11"/>
      <c r="AX43" s="10"/>
      <c r="AY43" s="11"/>
      <c r="AZ43" s="11"/>
      <c r="BA43" s="11"/>
      <c r="BB43" s="10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7"/>
      <c r="CD43" s="17"/>
      <c r="CE43" s="11"/>
      <c r="CF43" s="13"/>
      <c r="CG43" s="13"/>
      <c r="CH43" s="13"/>
      <c r="CI43" s="13"/>
      <c r="CJ43" s="13"/>
    </row>
    <row r="44" spans="1:88" s="9" customFormat="1" x14ac:dyDescent="0.25">
      <c r="A44" s="10"/>
      <c r="B44" s="10"/>
      <c r="C44" s="10"/>
      <c r="D44" s="10"/>
      <c r="E44" s="11"/>
      <c r="F44" s="10"/>
      <c r="G44" s="10"/>
      <c r="H44" s="10"/>
      <c r="I44" s="10"/>
      <c r="J44" s="10"/>
      <c r="K44" s="12"/>
      <c r="L44" s="10"/>
      <c r="M44" s="10"/>
      <c r="N44" s="13"/>
      <c r="O44" s="10"/>
      <c r="P44" s="10"/>
      <c r="Q44" s="10"/>
      <c r="R44" s="18"/>
      <c r="S44" s="10"/>
      <c r="T44" s="10"/>
      <c r="U44" s="13"/>
      <c r="V44" s="13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3"/>
      <c r="AL44" s="14"/>
      <c r="AM44" s="15"/>
      <c r="AN44" s="15"/>
      <c r="AO44" s="13"/>
      <c r="AP44" s="13"/>
      <c r="AQ44" s="16"/>
      <c r="AR44" s="10"/>
      <c r="AS44" s="10"/>
      <c r="AT44" s="10"/>
      <c r="AU44" s="10"/>
      <c r="AV44" s="11"/>
      <c r="AW44" s="11"/>
      <c r="AX44" s="10"/>
      <c r="AY44" s="11"/>
      <c r="AZ44" s="11"/>
      <c r="BA44" s="11"/>
      <c r="BB44" s="10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7"/>
      <c r="CD44" s="17"/>
      <c r="CE44" s="11"/>
      <c r="CF44" s="13"/>
      <c r="CG44" s="13"/>
      <c r="CH44" s="13"/>
      <c r="CI44" s="13"/>
      <c r="CJ44" s="13"/>
    </row>
    <row r="45" spans="1:88" s="9" customFormat="1" x14ac:dyDescent="0.25">
      <c r="A45" s="10"/>
      <c r="B45" s="10"/>
      <c r="C45" s="10"/>
      <c r="D45" s="10"/>
      <c r="E45" s="11"/>
      <c r="F45" s="10"/>
      <c r="G45" s="10"/>
      <c r="H45" s="10"/>
      <c r="I45" s="10"/>
      <c r="J45" s="10"/>
      <c r="K45" s="12"/>
      <c r="L45" s="10"/>
      <c r="M45" s="10"/>
      <c r="N45" s="13"/>
      <c r="O45" s="10"/>
      <c r="P45" s="10"/>
      <c r="Q45" s="10"/>
      <c r="R45" s="18"/>
      <c r="S45" s="10"/>
      <c r="T45" s="10"/>
      <c r="U45" s="13"/>
      <c r="V45" s="13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3"/>
      <c r="AL45" s="14"/>
      <c r="AM45" s="15"/>
      <c r="AN45" s="15"/>
      <c r="AO45" s="13"/>
      <c r="AP45" s="13"/>
      <c r="AQ45" s="16"/>
      <c r="AR45" s="10"/>
      <c r="AS45" s="10"/>
      <c r="AT45" s="10"/>
      <c r="AU45" s="10"/>
      <c r="AV45" s="11"/>
      <c r="AW45" s="11"/>
      <c r="AX45" s="10"/>
      <c r="AY45" s="11"/>
      <c r="AZ45" s="11"/>
      <c r="BA45" s="11"/>
      <c r="BB45" s="10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7"/>
      <c r="CD45" s="17"/>
      <c r="CE45" s="11"/>
      <c r="CF45" s="13"/>
      <c r="CG45" s="13"/>
      <c r="CH45" s="13"/>
      <c r="CI45" s="13"/>
      <c r="CJ45" s="13"/>
    </row>
    <row r="46" spans="1:88" s="9" customFormat="1" x14ac:dyDescent="0.25">
      <c r="A46" s="10"/>
      <c r="B46" s="10"/>
      <c r="C46" s="10"/>
      <c r="D46" s="10"/>
      <c r="E46" s="11"/>
      <c r="F46" s="10"/>
      <c r="G46" s="10"/>
      <c r="H46" s="10"/>
      <c r="I46" s="10"/>
      <c r="J46" s="10"/>
      <c r="K46" s="12"/>
      <c r="L46" s="10"/>
      <c r="M46" s="10"/>
      <c r="N46" s="13"/>
      <c r="O46" s="10"/>
      <c r="P46" s="10"/>
      <c r="Q46" s="10"/>
      <c r="R46" s="18"/>
      <c r="S46" s="10"/>
      <c r="T46" s="10"/>
      <c r="U46" s="13"/>
      <c r="V46" s="13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3"/>
      <c r="AL46" s="14"/>
      <c r="AM46" s="15"/>
      <c r="AN46" s="15"/>
      <c r="AO46" s="13"/>
      <c r="AP46" s="13"/>
      <c r="AQ46" s="16"/>
      <c r="AR46" s="10"/>
      <c r="AS46" s="10"/>
      <c r="AT46" s="10"/>
      <c r="AU46" s="10"/>
      <c r="AV46" s="11"/>
      <c r="AW46" s="11"/>
      <c r="AX46" s="10"/>
      <c r="AY46" s="11"/>
      <c r="AZ46" s="11"/>
      <c r="BA46" s="11"/>
      <c r="BB46" s="10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7"/>
      <c r="CD46" s="17"/>
      <c r="CE46" s="11"/>
      <c r="CF46" s="13"/>
      <c r="CG46" s="13"/>
      <c r="CH46" s="13"/>
      <c r="CI46" s="13"/>
      <c r="CJ46" s="13"/>
    </row>
    <row r="47" spans="1:88" s="9" customFormat="1" x14ac:dyDescent="0.25">
      <c r="A47" s="10"/>
      <c r="B47" s="10"/>
      <c r="C47" s="10"/>
      <c r="D47" s="10"/>
      <c r="E47" s="11"/>
      <c r="F47" s="10"/>
      <c r="G47" s="10"/>
      <c r="H47" s="10"/>
      <c r="I47" s="10"/>
      <c r="J47" s="10"/>
      <c r="K47" s="12"/>
      <c r="L47" s="10"/>
      <c r="M47" s="10"/>
      <c r="N47" s="13"/>
      <c r="O47" s="10"/>
      <c r="P47" s="10"/>
      <c r="Q47" s="10"/>
      <c r="R47" s="18"/>
      <c r="S47" s="10"/>
      <c r="T47" s="10"/>
      <c r="U47" s="13"/>
      <c r="V47" s="13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3"/>
      <c r="AL47" s="14"/>
      <c r="AM47" s="15"/>
      <c r="AN47" s="15"/>
      <c r="AO47" s="13"/>
      <c r="AP47" s="13"/>
      <c r="AQ47" s="16"/>
      <c r="AR47" s="10"/>
      <c r="AS47" s="10"/>
      <c r="AT47" s="10"/>
      <c r="AU47" s="10"/>
      <c r="AV47" s="11"/>
      <c r="AW47" s="11"/>
      <c r="AX47" s="10"/>
      <c r="AY47" s="11"/>
      <c r="AZ47" s="11"/>
      <c r="BA47" s="11"/>
      <c r="BB47" s="10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7"/>
      <c r="CD47" s="17"/>
      <c r="CE47" s="11"/>
      <c r="CF47" s="13"/>
      <c r="CG47" s="13"/>
      <c r="CH47" s="13"/>
      <c r="CI47" s="13"/>
      <c r="CJ47" s="13"/>
    </row>
    <row r="48" spans="1:88" s="9" customFormat="1" x14ac:dyDescent="0.25">
      <c r="A48" s="10"/>
      <c r="B48" s="10"/>
      <c r="C48" s="10"/>
      <c r="D48" s="10"/>
      <c r="E48" s="11"/>
      <c r="F48" s="10"/>
      <c r="G48" s="10"/>
      <c r="H48" s="10"/>
      <c r="I48" s="10"/>
      <c r="J48" s="10"/>
      <c r="K48" s="12"/>
      <c r="L48" s="10"/>
      <c r="M48" s="10"/>
      <c r="N48" s="13"/>
      <c r="O48" s="10"/>
      <c r="P48" s="10"/>
      <c r="Q48" s="10"/>
      <c r="R48" s="18"/>
      <c r="S48" s="10"/>
      <c r="T48" s="10"/>
      <c r="U48" s="13"/>
      <c r="V48" s="13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3"/>
      <c r="AL48" s="14"/>
      <c r="AM48" s="15"/>
      <c r="AN48" s="15"/>
      <c r="AO48" s="13"/>
      <c r="AP48" s="13"/>
      <c r="AQ48" s="16"/>
      <c r="AR48" s="10"/>
      <c r="AS48" s="10"/>
      <c r="AT48" s="10"/>
      <c r="AU48" s="10"/>
      <c r="AV48" s="11"/>
      <c r="AW48" s="11"/>
      <c r="AX48" s="10"/>
      <c r="AY48" s="11"/>
      <c r="AZ48" s="11"/>
      <c r="BA48" s="11"/>
      <c r="BB48" s="10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7"/>
      <c r="CD48" s="17"/>
      <c r="CE48" s="11"/>
      <c r="CF48" s="13"/>
      <c r="CG48" s="13"/>
      <c r="CH48" s="13"/>
      <c r="CI48" s="13"/>
      <c r="CJ48" s="13"/>
    </row>
    <row r="49" spans="1:88" s="9" customFormat="1" x14ac:dyDescent="0.25">
      <c r="A49" s="10"/>
      <c r="B49" s="10"/>
      <c r="C49" s="10"/>
      <c r="D49" s="10"/>
      <c r="E49" s="11"/>
      <c r="F49" s="10"/>
      <c r="G49" s="10"/>
      <c r="H49" s="10"/>
      <c r="I49" s="10"/>
      <c r="J49" s="10"/>
      <c r="K49" s="12"/>
      <c r="L49" s="10"/>
      <c r="M49" s="10"/>
      <c r="N49" s="13"/>
      <c r="O49" s="10"/>
      <c r="P49" s="10"/>
      <c r="Q49" s="10"/>
      <c r="R49" s="18"/>
      <c r="S49" s="10"/>
      <c r="T49" s="10"/>
      <c r="U49" s="13"/>
      <c r="V49" s="13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3"/>
      <c r="AL49" s="14"/>
      <c r="AM49" s="15"/>
      <c r="AN49" s="15"/>
      <c r="AO49" s="13"/>
      <c r="AP49" s="13"/>
      <c r="AQ49" s="16"/>
      <c r="AR49" s="10"/>
      <c r="AS49" s="10"/>
      <c r="AT49" s="10"/>
      <c r="AU49" s="10"/>
      <c r="AV49" s="11"/>
      <c r="AW49" s="11"/>
      <c r="AX49" s="10"/>
      <c r="AY49" s="11"/>
      <c r="AZ49" s="11"/>
      <c r="BA49" s="11"/>
      <c r="BB49" s="10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7"/>
      <c r="CD49" s="17"/>
      <c r="CE49" s="11"/>
      <c r="CF49" s="13"/>
      <c r="CG49" s="13"/>
      <c r="CH49" s="13"/>
      <c r="CI49" s="13"/>
      <c r="CJ49" s="13"/>
    </row>
    <row r="50" spans="1:88" s="9" customFormat="1" x14ac:dyDescent="0.25">
      <c r="A50" s="10"/>
      <c r="B50" s="10"/>
      <c r="C50" s="10"/>
      <c r="D50" s="10"/>
      <c r="E50" s="11"/>
      <c r="F50" s="10"/>
      <c r="G50" s="10"/>
      <c r="H50" s="10"/>
      <c r="I50" s="10"/>
      <c r="J50" s="10"/>
      <c r="K50" s="12"/>
      <c r="L50" s="10"/>
      <c r="M50" s="10"/>
      <c r="N50" s="13"/>
      <c r="O50" s="10"/>
      <c r="P50" s="10"/>
      <c r="Q50" s="10"/>
      <c r="R50" s="18"/>
      <c r="S50" s="10"/>
      <c r="T50" s="10"/>
      <c r="U50" s="13"/>
      <c r="V50" s="13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3"/>
      <c r="AL50" s="14"/>
      <c r="AM50" s="15"/>
      <c r="AN50" s="15"/>
      <c r="AO50" s="13"/>
      <c r="AP50" s="13"/>
      <c r="AQ50" s="16"/>
      <c r="AR50" s="10"/>
      <c r="AS50" s="10"/>
      <c r="AT50" s="10"/>
      <c r="AU50" s="10"/>
      <c r="AV50" s="11"/>
      <c r="AW50" s="11"/>
      <c r="AX50" s="10"/>
      <c r="AY50" s="11"/>
      <c r="AZ50" s="11"/>
      <c r="BA50" s="11"/>
      <c r="BB50" s="10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7"/>
      <c r="CD50" s="17"/>
      <c r="CE50" s="11"/>
      <c r="CF50" s="13"/>
      <c r="CG50" s="13"/>
      <c r="CH50" s="13"/>
      <c r="CI50" s="13"/>
      <c r="CJ50" s="13"/>
    </row>
    <row r="51" spans="1:88" s="9" customFormat="1" x14ac:dyDescent="0.25">
      <c r="A51" s="10"/>
      <c r="B51" s="10"/>
      <c r="C51" s="10"/>
      <c r="D51" s="10"/>
      <c r="E51" s="11"/>
      <c r="F51" s="10"/>
      <c r="G51" s="10"/>
      <c r="H51" s="10"/>
      <c r="I51" s="10"/>
      <c r="J51" s="10"/>
      <c r="K51" s="12"/>
      <c r="L51" s="10"/>
      <c r="M51" s="10"/>
      <c r="N51" s="13"/>
      <c r="O51" s="10"/>
      <c r="P51" s="10"/>
      <c r="Q51" s="10"/>
      <c r="R51" s="18"/>
      <c r="S51" s="10"/>
      <c r="T51" s="10"/>
      <c r="U51" s="13"/>
      <c r="V51" s="13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3"/>
      <c r="AL51" s="14"/>
      <c r="AM51" s="15"/>
      <c r="AN51" s="15"/>
      <c r="AO51" s="13"/>
      <c r="AP51" s="13"/>
      <c r="AQ51" s="16"/>
      <c r="AR51" s="10"/>
      <c r="AS51" s="10"/>
      <c r="AT51" s="10"/>
      <c r="AU51" s="10"/>
      <c r="AV51" s="11"/>
      <c r="AW51" s="11"/>
      <c r="AX51" s="10"/>
      <c r="AY51" s="11"/>
      <c r="AZ51" s="11"/>
      <c r="BA51" s="11"/>
      <c r="BB51" s="10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7"/>
      <c r="CD51" s="17"/>
      <c r="CE51" s="11"/>
      <c r="CF51" s="13"/>
      <c r="CG51" s="13"/>
      <c r="CH51" s="13"/>
      <c r="CI51" s="13"/>
      <c r="CJ51" s="13"/>
    </row>
    <row r="52" spans="1:88" s="9" customFormat="1" x14ac:dyDescent="0.25">
      <c r="A52" s="10"/>
      <c r="B52" s="10"/>
      <c r="C52" s="10"/>
      <c r="D52" s="10"/>
      <c r="E52" s="11"/>
      <c r="F52" s="10"/>
      <c r="G52" s="10"/>
      <c r="H52" s="10"/>
      <c r="I52" s="10"/>
      <c r="J52" s="10"/>
      <c r="K52" s="12"/>
      <c r="L52" s="10"/>
      <c r="M52" s="10"/>
      <c r="N52" s="13"/>
      <c r="O52" s="10"/>
      <c r="P52" s="10"/>
      <c r="Q52" s="10"/>
      <c r="R52" s="18"/>
      <c r="S52" s="10"/>
      <c r="T52" s="10"/>
      <c r="U52" s="13"/>
      <c r="V52" s="13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3"/>
      <c r="AL52" s="14"/>
      <c r="AM52" s="15"/>
      <c r="AN52" s="15"/>
      <c r="AO52" s="13"/>
      <c r="AP52" s="13"/>
      <c r="AQ52" s="16"/>
      <c r="AR52" s="10"/>
      <c r="AS52" s="10"/>
      <c r="AT52" s="10"/>
      <c r="AU52" s="10"/>
      <c r="AV52" s="11"/>
      <c r="AW52" s="11"/>
      <c r="AX52" s="10"/>
      <c r="AY52" s="11"/>
      <c r="AZ52" s="11"/>
      <c r="BA52" s="11"/>
      <c r="BB52" s="10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7"/>
      <c r="CD52" s="17"/>
      <c r="CE52" s="11"/>
      <c r="CF52" s="13"/>
      <c r="CG52" s="13"/>
      <c r="CH52" s="13"/>
      <c r="CI52" s="13"/>
      <c r="CJ52" s="13"/>
    </row>
    <row r="53" spans="1:88" s="9" customFormat="1" x14ac:dyDescent="0.25">
      <c r="A53" s="10"/>
      <c r="B53" s="10"/>
      <c r="C53" s="10"/>
      <c r="D53" s="10"/>
      <c r="E53" s="11"/>
      <c r="F53" s="10"/>
      <c r="G53" s="10"/>
      <c r="H53" s="10"/>
      <c r="I53" s="10"/>
      <c r="J53" s="10"/>
      <c r="K53" s="12"/>
      <c r="L53" s="10"/>
      <c r="M53" s="10"/>
      <c r="N53" s="13"/>
      <c r="O53" s="10"/>
      <c r="P53" s="10"/>
      <c r="Q53" s="10"/>
      <c r="R53" s="18"/>
      <c r="S53" s="10"/>
      <c r="T53" s="10"/>
      <c r="U53" s="13"/>
      <c r="V53" s="13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3"/>
      <c r="AL53" s="14"/>
      <c r="AM53" s="15"/>
      <c r="AN53" s="15"/>
      <c r="AO53" s="13"/>
      <c r="AP53" s="13"/>
      <c r="AQ53" s="16"/>
      <c r="AR53" s="10"/>
      <c r="AS53" s="10"/>
      <c r="AT53" s="10"/>
      <c r="AU53" s="10"/>
      <c r="AV53" s="11"/>
      <c r="AW53" s="11"/>
      <c r="AX53" s="10"/>
      <c r="AY53" s="11"/>
      <c r="AZ53" s="11"/>
      <c r="BA53" s="11"/>
      <c r="BB53" s="10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7"/>
      <c r="CD53" s="17"/>
      <c r="CE53" s="11"/>
      <c r="CF53" s="13"/>
      <c r="CG53" s="13"/>
      <c r="CH53" s="13"/>
      <c r="CI53" s="13"/>
      <c r="CJ53" s="13"/>
    </row>
    <row r="54" spans="1:88" s="9" customFormat="1" x14ac:dyDescent="0.25">
      <c r="A54" s="10"/>
      <c r="B54" s="10"/>
      <c r="C54" s="10"/>
      <c r="D54" s="10"/>
      <c r="E54" s="11"/>
      <c r="F54" s="10"/>
      <c r="G54" s="10"/>
      <c r="H54" s="10"/>
      <c r="I54" s="10"/>
      <c r="J54" s="10"/>
      <c r="K54" s="12"/>
      <c r="L54" s="10"/>
      <c r="M54" s="10"/>
      <c r="N54" s="13"/>
      <c r="O54" s="10"/>
      <c r="P54" s="10"/>
      <c r="Q54" s="10"/>
      <c r="R54" s="18"/>
      <c r="S54" s="10"/>
      <c r="T54" s="10"/>
      <c r="U54" s="13"/>
      <c r="V54" s="13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3"/>
      <c r="AL54" s="14"/>
      <c r="AM54" s="15"/>
      <c r="AN54" s="15"/>
      <c r="AO54" s="13"/>
      <c r="AP54" s="13"/>
      <c r="AQ54" s="16"/>
      <c r="AR54" s="10"/>
      <c r="AS54" s="10"/>
      <c r="AT54" s="10"/>
      <c r="AU54" s="10"/>
      <c r="AV54" s="11"/>
      <c r="AW54" s="11"/>
      <c r="AX54" s="10"/>
      <c r="AY54" s="11"/>
      <c r="AZ54" s="11"/>
      <c r="BA54" s="11"/>
      <c r="BB54" s="10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7"/>
      <c r="CD54" s="17"/>
      <c r="CE54" s="11"/>
      <c r="CF54" s="13"/>
      <c r="CG54" s="13"/>
      <c r="CH54" s="13"/>
      <c r="CI54" s="13"/>
      <c r="CJ54" s="13"/>
    </row>
    <row r="55" spans="1:88" s="9" customFormat="1" x14ac:dyDescent="0.25">
      <c r="A55" s="10"/>
      <c r="B55" s="10"/>
      <c r="C55" s="10"/>
      <c r="D55" s="10"/>
      <c r="E55" s="11"/>
      <c r="F55" s="10"/>
      <c r="G55" s="10"/>
      <c r="H55" s="10"/>
      <c r="I55" s="10"/>
      <c r="J55" s="10"/>
      <c r="K55" s="12"/>
      <c r="L55" s="10"/>
      <c r="M55" s="10"/>
      <c r="N55" s="13"/>
      <c r="O55" s="10"/>
      <c r="P55" s="10"/>
      <c r="Q55" s="10"/>
      <c r="R55" s="18"/>
      <c r="S55" s="10"/>
      <c r="T55" s="10"/>
      <c r="U55" s="13"/>
      <c r="V55" s="13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3"/>
      <c r="AL55" s="14"/>
      <c r="AM55" s="15"/>
      <c r="AN55" s="15"/>
      <c r="AO55" s="13"/>
      <c r="AP55" s="13"/>
      <c r="AQ55" s="16"/>
      <c r="AR55" s="10"/>
      <c r="AS55" s="10"/>
      <c r="AT55" s="10"/>
      <c r="AU55" s="10"/>
      <c r="AV55" s="11"/>
      <c r="AW55" s="11"/>
      <c r="AX55" s="10"/>
      <c r="AY55" s="11"/>
      <c r="AZ55" s="11"/>
      <c r="BA55" s="11"/>
      <c r="BB55" s="10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7"/>
      <c r="CD55" s="17"/>
      <c r="CE55" s="11"/>
      <c r="CF55" s="13"/>
      <c r="CG55" s="13"/>
      <c r="CH55" s="13"/>
      <c r="CI55" s="13"/>
      <c r="CJ55" s="13"/>
    </row>
    <row r="56" spans="1:88" s="9" customFormat="1" x14ac:dyDescent="0.25">
      <c r="A56" s="10"/>
      <c r="B56" s="10"/>
      <c r="C56" s="10"/>
      <c r="D56" s="10"/>
      <c r="E56" s="11"/>
      <c r="F56" s="10"/>
      <c r="G56" s="10"/>
      <c r="H56" s="10"/>
      <c r="I56" s="10"/>
      <c r="J56" s="10"/>
      <c r="K56" s="12"/>
      <c r="L56" s="10"/>
      <c r="M56" s="10"/>
      <c r="N56" s="13"/>
      <c r="O56" s="10"/>
      <c r="P56" s="10"/>
      <c r="Q56" s="10"/>
      <c r="R56" s="18"/>
      <c r="S56" s="10"/>
      <c r="T56" s="10"/>
      <c r="U56" s="13"/>
      <c r="V56" s="13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3"/>
      <c r="AL56" s="14"/>
      <c r="AM56" s="15"/>
      <c r="AN56" s="15"/>
      <c r="AO56" s="13"/>
      <c r="AP56" s="13"/>
      <c r="AQ56" s="16"/>
      <c r="AR56" s="10"/>
      <c r="AS56" s="10"/>
      <c r="AT56" s="10"/>
      <c r="AU56" s="10"/>
      <c r="AV56" s="11"/>
      <c r="AW56" s="11"/>
      <c r="AX56" s="10"/>
      <c r="AY56" s="11"/>
      <c r="AZ56" s="11"/>
      <c r="BA56" s="11"/>
      <c r="BB56" s="10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7"/>
      <c r="CD56" s="17"/>
      <c r="CE56" s="11"/>
      <c r="CF56" s="13"/>
      <c r="CG56" s="13"/>
      <c r="CH56" s="13"/>
      <c r="CI56" s="13"/>
      <c r="CJ56" s="13"/>
    </row>
    <row r="57" spans="1:88" s="9" customFormat="1" x14ac:dyDescent="0.25">
      <c r="A57" s="10"/>
      <c r="B57" s="10"/>
      <c r="C57" s="10"/>
      <c r="D57" s="10"/>
      <c r="E57" s="11"/>
      <c r="F57" s="10"/>
      <c r="G57" s="10"/>
      <c r="H57" s="10"/>
      <c r="I57" s="10"/>
      <c r="J57" s="10"/>
      <c r="K57" s="12"/>
      <c r="L57" s="10"/>
      <c r="M57" s="10"/>
      <c r="N57" s="13"/>
      <c r="O57" s="10"/>
      <c r="P57" s="10"/>
      <c r="Q57" s="10"/>
      <c r="R57" s="18"/>
      <c r="S57" s="10"/>
      <c r="T57" s="10"/>
      <c r="U57" s="13"/>
      <c r="V57" s="13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3"/>
      <c r="AL57" s="14"/>
      <c r="AM57" s="15"/>
      <c r="AN57" s="15"/>
      <c r="AO57" s="13"/>
      <c r="AP57" s="13"/>
      <c r="AQ57" s="16"/>
      <c r="AR57" s="10"/>
      <c r="AS57" s="10"/>
      <c r="AT57" s="10"/>
      <c r="AU57" s="10"/>
      <c r="AV57" s="11"/>
      <c r="AW57" s="11"/>
      <c r="AX57" s="10"/>
      <c r="AY57" s="11"/>
      <c r="AZ57" s="11"/>
      <c r="BA57" s="11"/>
      <c r="BB57" s="10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7"/>
      <c r="CD57" s="17"/>
      <c r="CE57" s="11"/>
      <c r="CF57" s="13"/>
      <c r="CG57" s="13"/>
      <c r="CH57" s="13"/>
      <c r="CI57" s="13"/>
      <c r="CJ57" s="13"/>
    </row>
    <row r="58" spans="1:88" s="9" customFormat="1" x14ac:dyDescent="0.25">
      <c r="A58" s="10"/>
      <c r="B58" s="10"/>
      <c r="C58" s="10"/>
      <c r="D58" s="10"/>
      <c r="E58" s="11"/>
      <c r="F58" s="10"/>
      <c r="G58" s="10"/>
      <c r="H58" s="10"/>
      <c r="I58" s="10"/>
      <c r="J58" s="10"/>
      <c r="K58" s="12"/>
      <c r="L58" s="10"/>
      <c r="M58" s="10"/>
      <c r="N58" s="13"/>
      <c r="O58" s="10"/>
      <c r="P58" s="10"/>
      <c r="Q58" s="10"/>
      <c r="R58" s="18"/>
      <c r="S58" s="10"/>
      <c r="T58" s="10"/>
      <c r="U58" s="13"/>
      <c r="V58" s="13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3"/>
      <c r="AL58" s="14"/>
      <c r="AM58" s="15"/>
      <c r="AN58" s="15"/>
      <c r="AO58" s="13"/>
      <c r="AP58" s="13"/>
      <c r="AQ58" s="16"/>
      <c r="AR58" s="10"/>
      <c r="AS58" s="10"/>
      <c r="AT58" s="10"/>
      <c r="AU58" s="10"/>
      <c r="AV58" s="11"/>
      <c r="AW58" s="11"/>
      <c r="AX58" s="10"/>
      <c r="AY58" s="11"/>
      <c r="AZ58" s="11"/>
      <c r="BA58" s="11"/>
      <c r="BB58" s="10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7"/>
      <c r="CD58" s="17"/>
      <c r="CE58" s="11"/>
      <c r="CF58" s="13"/>
      <c r="CG58" s="13"/>
      <c r="CH58" s="13"/>
      <c r="CI58" s="13"/>
      <c r="CJ58" s="13"/>
    </row>
    <row r="59" spans="1:88" s="9" customFormat="1" x14ac:dyDescent="0.25">
      <c r="A59" s="10"/>
      <c r="B59" s="10"/>
      <c r="C59" s="10"/>
      <c r="D59" s="10"/>
      <c r="E59" s="11"/>
      <c r="F59" s="10"/>
      <c r="G59" s="10"/>
      <c r="H59" s="10"/>
      <c r="I59" s="10"/>
      <c r="J59" s="10"/>
      <c r="K59" s="12"/>
      <c r="L59" s="10"/>
      <c r="M59" s="10"/>
      <c r="N59" s="13"/>
      <c r="O59" s="10"/>
      <c r="P59" s="10"/>
      <c r="Q59" s="10"/>
      <c r="R59" s="18"/>
      <c r="S59" s="10"/>
      <c r="T59" s="10"/>
      <c r="U59" s="13"/>
      <c r="V59" s="13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3"/>
      <c r="AL59" s="14"/>
      <c r="AM59" s="15"/>
      <c r="AN59" s="15"/>
      <c r="AO59" s="13"/>
      <c r="AP59" s="13"/>
      <c r="AQ59" s="16"/>
      <c r="AR59" s="10"/>
      <c r="AS59" s="10"/>
      <c r="AT59" s="10"/>
      <c r="AU59" s="10"/>
      <c r="AV59" s="11"/>
      <c r="AW59" s="11"/>
      <c r="AX59" s="10"/>
      <c r="AY59" s="11"/>
      <c r="AZ59" s="11"/>
      <c r="BA59" s="11"/>
      <c r="BB59" s="10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7"/>
      <c r="CD59" s="17"/>
      <c r="CE59" s="11"/>
      <c r="CF59" s="13"/>
      <c r="CG59" s="13"/>
      <c r="CH59" s="13"/>
      <c r="CI59" s="13"/>
      <c r="CJ59" s="13"/>
    </row>
    <row r="60" spans="1:88" s="9" customFormat="1" x14ac:dyDescent="0.25">
      <c r="A60" s="10"/>
      <c r="B60" s="10"/>
      <c r="C60" s="10"/>
      <c r="D60" s="10"/>
      <c r="E60" s="11"/>
      <c r="F60" s="10"/>
      <c r="G60" s="10"/>
      <c r="H60" s="10"/>
      <c r="I60" s="10"/>
      <c r="J60" s="10"/>
      <c r="K60" s="12"/>
      <c r="L60" s="10"/>
      <c r="M60" s="10"/>
      <c r="N60" s="13"/>
      <c r="O60" s="10"/>
      <c r="P60" s="10"/>
      <c r="Q60" s="10"/>
      <c r="R60" s="18"/>
      <c r="S60" s="10"/>
      <c r="T60" s="10"/>
      <c r="U60" s="13"/>
      <c r="V60" s="13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3"/>
      <c r="AL60" s="14"/>
      <c r="AM60" s="15"/>
      <c r="AN60" s="15"/>
      <c r="AO60" s="13"/>
      <c r="AP60" s="13"/>
      <c r="AQ60" s="16"/>
      <c r="AR60" s="10"/>
      <c r="AS60" s="10"/>
      <c r="AT60" s="10"/>
      <c r="AU60" s="10"/>
      <c r="AV60" s="11"/>
      <c r="AW60" s="11"/>
      <c r="AX60" s="10"/>
      <c r="AY60" s="11"/>
      <c r="AZ60" s="11"/>
      <c r="BA60" s="11"/>
      <c r="BB60" s="10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7"/>
      <c r="CD60" s="17"/>
      <c r="CE60" s="11"/>
      <c r="CF60" s="13"/>
      <c r="CG60" s="13"/>
      <c r="CH60" s="13"/>
      <c r="CI60" s="13"/>
      <c r="CJ60" s="13"/>
    </row>
    <row r="61" spans="1:88" s="9" customFormat="1" x14ac:dyDescent="0.25">
      <c r="A61" s="10"/>
      <c r="B61" s="10"/>
      <c r="C61" s="10"/>
      <c r="D61" s="10"/>
      <c r="E61" s="11"/>
      <c r="F61" s="10"/>
      <c r="G61" s="10"/>
      <c r="H61" s="10"/>
      <c r="I61" s="10"/>
      <c r="J61" s="10"/>
      <c r="K61" s="12"/>
      <c r="L61" s="10"/>
      <c r="M61" s="10"/>
      <c r="N61" s="13"/>
      <c r="O61" s="10"/>
      <c r="P61" s="10"/>
      <c r="Q61" s="10"/>
      <c r="R61" s="18"/>
      <c r="S61" s="10"/>
      <c r="T61" s="10"/>
      <c r="U61" s="13"/>
      <c r="V61" s="13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3"/>
      <c r="AL61" s="14"/>
      <c r="AM61" s="15"/>
      <c r="AN61" s="15"/>
      <c r="AO61" s="13"/>
      <c r="AP61" s="13"/>
      <c r="AQ61" s="16"/>
      <c r="AR61" s="10"/>
      <c r="AS61" s="10"/>
      <c r="AT61" s="10"/>
      <c r="AU61" s="10"/>
      <c r="AV61" s="11"/>
      <c r="AW61" s="11"/>
      <c r="AX61" s="10"/>
      <c r="AY61" s="11"/>
      <c r="AZ61" s="11"/>
      <c r="BA61" s="11"/>
      <c r="BB61" s="10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7"/>
      <c r="CD61" s="17"/>
      <c r="CE61" s="11"/>
      <c r="CF61" s="13"/>
      <c r="CG61" s="13"/>
      <c r="CH61" s="13"/>
      <c r="CI61" s="13"/>
      <c r="CJ61" s="13"/>
    </row>
    <row r="62" spans="1:88" s="9" customFormat="1" x14ac:dyDescent="0.25">
      <c r="A62" s="10"/>
      <c r="B62" s="10"/>
      <c r="C62" s="10"/>
      <c r="D62" s="10"/>
      <c r="E62" s="11"/>
      <c r="F62" s="10"/>
      <c r="G62" s="10"/>
      <c r="H62" s="10"/>
      <c r="I62" s="10"/>
      <c r="J62" s="10"/>
      <c r="K62" s="12"/>
      <c r="L62" s="10"/>
      <c r="M62" s="10"/>
      <c r="N62" s="13"/>
      <c r="O62" s="10"/>
      <c r="P62" s="10"/>
      <c r="Q62" s="10"/>
      <c r="R62" s="18"/>
      <c r="S62" s="10"/>
      <c r="T62" s="10"/>
      <c r="U62" s="13"/>
      <c r="V62" s="13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3"/>
      <c r="AL62" s="14"/>
      <c r="AM62" s="15"/>
      <c r="AN62" s="15"/>
      <c r="AO62" s="13"/>
      <c r="AP62" s="13"/>
      <c r="AQ62" s="16"/>
      <c r="AR62" s="10"/>
      <c r="AS62" s="10"/>
      <c r="AT62" s="10"/>
      <c r="AU62" s="10"/>
      <c r="AV62" s="11"/>
      <c r="AW62" s="11"/>
      <c r="AX62" s="10"/>
      <c r="AY62" s="11"/>
      <c r="AZ62" s="11"/>
      <c r="BA62" s="11"/>
      <c r="BB62" s="10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7"/>
      <c r="CD62" s="17"/>
      <c r="CE62" s="11"/>
      <c r="CF62" s="13"/>
      <c r="CG62" s="13"/>
      <c r="CH62" s="13"/>
      <c r="CI62" s="13"/>
      <c r="CJ62" s="13"/>
    </row>
    <row r="63" spans="1:88" s="9" customFormat="1" x14ac:dyDescent="0.25">
      <c r="A63" s="10"/>
      <c r="B63" s="10"/>
      <c r="C63" s="10"/>
      <c r="D63" s="10"/>
      <c r="E63" s="11"/>
      <c r="F63" s="10"/>
      <c r="G63" s="10"/>
      <c r="H63" s="10"/>
      <c r="I63" s="10"/>
      <c r="J63" s="10"/>
      <c r="K63" s="12"/>
      <c r="L63" s="10"/>
      <c r="M63" s="10"/>
      <c r="N63" s="13"/>
      <c r="O63" s="10"/>
      <c r="P63" s="10"/>
      <c r="Q63" s="10"/>
      <c r="R63" s="18"/>
      <c r="S63" s="10"/>
      <c r="T63" s="10"/>
      <c r="U63" s="13"/>
      <c r="V63" s="13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3"/>
      <c r="AL63" s="14"/>
      <c r="AM63" s="15"/>
      <c r="AN63" s="15"/>
      <c r="AO63" s="13"/>
      <c r="AP63" s="13"/>
      <c r="AQ63" s="16"/>
      <c r="AR63" s="10"/>
      <c r="AS63" s="10"/>
      <c r="AT63" s="10"/>
      <c r="AU63" s="10"/>
      <c r="AV63" s="11"/>
      <c r="AW63" s="11"/>
      <c r="AX63" s="10"/>
      <c r="AY63" s="11"/>
      <c r="AZ63" s="11"/>
      <c r="BA63" s="11"/>
      <c r="BB63" s="10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7"/>
      <c r="CD63" s="17"/>
      <c r="CE63" s="11"/>
      <c r="CF63" s="13"/>
      <c r="CG63" s="13"/>
      <c r="CH63" s="13"/>
      <c r="CI63" s="13"/>
      <c r="CJ63" s="13"/>
    </row>
    <row r="64" spans="1:88" s="9" customFormat="1" x14ac:dyDescent="0.25">
      <c r="A64" s="10"/>
      <c r="B64" s="10"/>
      <c r="C64" s="10"/>
      <c r="D64" s="10"/>
      <c r="E64" s="11"/>
      <c r="F64" s="10"/>
      <c r="G64" s="10"/>
      <c r="H64" s="10"/>
      <c r="I64" s="10"/>
      <c r="J64" s="10"/>
      <c r="K64" s="12"/>
      <c r="L64" s="10"/>
      <c r="M64" s="10"/>
      <c r="N64" s="13"/>
      <c r="O64" s="10"/>
      <c r="P64" s="10"/>
      <c r="Q64" s="10"/>
      <c r="R64" s="18"/>
      <c r="S64" s="10"/>
      <c r="T64" s="10"/>
      <c r="U64" s="13"/>
      <c r="V64" s="13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3"/>
      <c r="AL64" s="14"/>
      <c r="AM64" s="15"/>
      <c r="AN64" s="15"/>
      <c r="AO64" s="13"/>
      <c r="AP64" s="13"/>
      <c r="AQ64" s="16"/>
      <c r="AR64" s="10"/>
      <c r="AS64" s="10"/>
      <c r="AT64" s="10"/>
      <c r="AU64" s="10"/>
      <c r="AV64" s="11"/>
      <c r="AW64" s="11"/>
      <c r="AX64" s="10"/>
      <c r="AY64" s="11"/>
      <c r="AZ64" s="11"/>
      <c r="BA64" s="11"/>
      <c r="BB64" s="10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7"/>
      <c r="CD64" s="17"/>
      <c r="CE64" s="11"/>
      <c r="CF64" s="13"/>
      <c r="CG64" s="13"/>
      <c r="CH64" s="13"/>
      <c r="CI64" s="13"/>
      <c r="CJ64" s="13"/>
    </row>
    <row r="65" spans="1:88" s="9" customFormat="1" x14ac:dyDescent="0.25">
      <c r="A65" s="10"/>
      <c r="B65" s="10"/>
      <c r="C65" s="10"/>
      <c r="D65" s="10"/>
      <c r="E65" s="11"/>
      <c r="F65" s="10"/>
      <c r="G65" s="10"/>
      <c r="H65" s="10"/>
      <c r="I65" s="10"/>
      <c r="J65" s="10"/>
      <c r="K65" s="12"/>
      <c r="L65" s="10"/>
      <c r="M65" s="10"/>
      <c r="N65" s="13"/>
      <c r="O65" s="10"/>
      <c r="P65" s="10"/>
      <c r="Q65" s="10"/>
      <c r="R65" s="18"/>
      <c r="S65" s="10"/>
      <c r="T65" s="10"/>
      <c r="U65" s="13"/>
      <c r="V65" s="13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3"/>
      <c r="AL65" s="14"/>
      <c r="AM65" s="15"/>
      <c r="AN65" s="15"/>
      <c r="AO65" s="13"/>
      <c r="AP65" s="13"/>
      <c r="AQ65" s="16"/>
      <c r="AR65" s="10"/>
      <c r="AS65" s="10"/>
      <c r="AT65" s="10"/>
      <c r="AU65" s="10"/>
      <c r="AV65" s="11"/>
      <c r="AW65" s="11"/>
      <c r="AX65" s="10"/>
      <c r="AY65" s="11"/>
      <c r="AZ65" s="11"/>
      <c r="BA65" s="11"/>
      <c r="BB65" s="10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7"/>
      <c r="CD65" s="17"/>
      <c r="CE65" s="11"/>
      <c r="CF65" s="13"/>
      <c r="CG65" s="13"/>
      <c r="CH65" s="13"/>
      <c r="CI65" s="13"/>
      <c r="CJ65" s="13"/>
    </row>
    <row r="66" spans="1:88" s="9" customFormat="1" x14ac:dyDescent="0.25">
      <c r="A66" s="10"/>
      <c r="B66" s="10"/>
      <c r="C66" s="10"/>
      <c r="D66" s="10"/>
      <c r="E66" s="11"/>
      <c r="F66" s="10"/>
      <c r="G66" s="10"/>
      <c r="H66" s="10"/>
      <c r="I66" s="10"/>
      <c r="J66" s="10"/>
      <c r="K66" s="12"/>
      <c r="L66" s="10"/>
      <c r="M66" s="10"/>
      <c r="N66" s="13"/>
      <c r="O66" s="10"/>
      <c r="P66" s="10"/>
      <c r="Q66" s="10"/>
      <c r="R66" s="18"/>
      <c r="S66" s="10"/>
      <c r="T66" s="10"/>
      <c r="U66" s="13"/>
      <c r="V66" s="13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3"/>
      <c r="AL66" s="14"/>
      <c r="AM66" s="15"/>
      <c r="AN66" s="15"/>
      <c r="AO66" s="13"/>
      <c r="AP66" s="13"/>
      <c r="AQ66" s="16"/>
      <c r="AR66" s="10"/>
      <c r="AS66" s="10"/>
      <c r="AT66" s="10"/>
      <c r="AU66" s="10"/>
      <c r="AV66" s="11"/>
      <c r="AW66" s="11"/>
      <c r="AX66" s="10"/>
      <c r="AY66" s="11"/>
      <c r="AZ66" s="11"/>
      <c r="BA66" s="11"/>
      <c r="BB66" s="10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7"/>
      <c r="CD66" s="17"/>
      <c r="CE66" s="11"/>
      <c r="CF66" s="13"/>
      <c r="CG66" s="13"/>
      <c r="CH66" s="13"/>
      <c r="CI66" s="13"/>
      <c r="CJ66" s="13"/>
    </row>
    <row r="67" spans="1:88" s="9" customFormat="1" x14ac:dyDescent="0.25">
      <c r="A67" s="10"/>
      <c r="B67" s="10"/>
      <c r="C67" s="10"/>
      <c r="D67" s="10"/>
      <c r="E67" s="11"/>
      <c r="F67" s="10"/>
      <c r="G67" s="10"/>
      <c r="H67" s="10"/>
      <c r="I67" s="10"/>
      <c r="J67" s="10"/>
      <c r="K67" s="12"/>
      <c r="L67" s="10"/>
      <c r="M67" s="10"/>
      <c r="N67" s="13"/>
      <c r="O67" s="10"/>
      <c r="P67" s="10"/>
      <c r="Q67" s="10"/>
      <c r="R67" s="18"/>
      <c r="S67" s="10"/>
      <c r="T67" s="10"/>
      <c r="U67" s="13"/>
      <c r="V67" s="13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3"/>
      <c r="AL67" s="14"/>
      <c r="AM67" s="15"/>
      <c r="AN67" s="15"/>
      <c r="AO67" s="13"/>
      <c r="AP67" s="13"/>
      <c r="AQ67" s="16"/>
      <c r="AR67" s="10"/>
      <c r="AS67" s="10"/>
      <c r="AT67" s="10"/>
      <c r="AU67" s="10"/>
      <c r="AV67" s="11"/>
      <c r="AW67" s="11"/>
      <c r="AX67" s="10"/>
      <c r="AY67" s="11"/>
      <c r="AZ67" s="11"/>
      <c r="BA67" s="11"/>
      <c r="BB67" s="10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7"/>
      <c r="CD67" s="17"/>
      <c r="CE67" s="11"/>
      <c r="CF67" s="13"/>
      <c r="CG67" s="13"/>
      <c r="CH67" s="13"/>
      <c r="CI67" s="13"/>
      <c r="CJ67" s="13"/>
    </row>
    <row r="68" spans="1:88" s="9" customFormat="1" x14ac:dyDescent="0.25">
      <c r="A68" s="10"/>
      <c r="B68" s="10"/>
      <c r="C68" s="10"/>
      <c r="D68" s="10"/>
      <c r="E68" s="11"/>
      <c r="F68" s="10"/>
      <c r="G68" s="10"/>
      <c r="H68" s="10"/>
      <c r="I68" s="10"/>
      <c r="J68" s="10"/>
      <c r="K68" s="12"/>
      <c r="L68" s="10"/>
      <c r="M68" s="10"/>
      <c r="N68" s="13"/>
      <c r="O68" s="10"/>
      <c r="P68" s="10"/>
      <c r="Q68" s="10"/>
      <c r="R68" s="18"/>
      <c r="S68" s="10"/>
      <c r="T68" s="10"/>
      <c r="U68" s="13"/>
      <c r="V68" s="13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3"/>
      <c r="AL68" s="14"/>
      <c r="AM68" s="15"/>
      <c r="AN68" s="15"/>
      <c r="AO68" s="13"/>
      <c r="AP68" s="13"/>
      <c r="AQ68" s="16"/>
      <c r="AR68" s="10"/>
      <c r="AS68" s="10"/>
      <c r="AT68" s="10"/>
      <c r="AU68" s="10"/>
      <c r="AV68" s="11"/>
      <c r="AW68" s="11"/>
      <c r="AX68" s="10"/>
      <c r="AY68" s="11"/>
      <c r="AZ68" s="11"/>
      <c r="BA68" s="11"/>
      <c r="BB68" s="10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7"/>
      <c r="CD68" s="17"/>
      <c r="CE68" s="11"/>
      <c r="CF68" s="13"/>
      <c r="CG68" s="13"/>
      <c r="CH68" s="13"/>
      <c r="CI68" s="13"/>
      <c r="CJ68" s="13"/>
    </row>
    <row r="69" spans="1:88" s="9" customFormat="1" x14ac:dyDescent="0.25">
      <c r="A69" s="10"/>
      <c r="B69" s="10"/>
      <c r="C69" s="10"/>
      <c r="D69" s="10"/>
      <c r="E69" s="11"/>
      <c r="F69" s="10"/>
      <c r="G69" s="10"/>
      <c r="H69" s="10"/>
      <c r="I69" s="10"/>
      <c r="J69" s="10"/>
      <c r="K69" s="12"/>
      <c r="L69" s="10"/>
      <c r="M69" s="10"/>
      <c r="N69" s="13"/>
      <c r="O69" s="10"/>
      <c r="P69" s="10"/>
      <c r="Q69" s="10"/>
      <c r="R69" s="18"/>
      <c r="S69" s="10"/>
      <c r="T69" s="10"/>
      <c r="U69" s="13"/>
      <c r="V69" s="13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3"/>
      <c r="AL69" s="14"/>
      <c r="AM69" s="15"/>
      <c r="AN69" s="15"/>
      <c r="AO69" s="13"/>
      <c r="AP69" s="13"/>
      <c r="AQ69" s="16"/>
      <c r="AR69" s="10"/>
      <c r="AS69" s="10"/>
      <c r="AT69" s="10"/>
      <c r="AU69" s="10"/>
      <c r="AV69" s="11"/>
      <c r="AW69" s="11"/>
      <c r="AX69" s="10"/>
      <c r="AY69" s="11"/>
      <c r="AZ69" s="11"/>
      <c r="BA69" s="11"/>
      <c r="BB69" s="10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7"/>
      <c r="CD69" s="17"/>
      <c r="CE69" s="11"/>
      <c r="CF69" s="13"/>
      <c r="CG69" s="13"/>
      <c r="CH69" s="13"/>
      <c r="CI69" s="13"/>
      <c r="CJ69" s="13"/>
    </row>
    <row r="70" spans="1:88" s="9" customFormat="1" x14ac:dyDescent="0.25">
      <c r="A70" s="10"/>
      <c r="B70" s="10"/>
      <c r="C70" s="10"/>
      <c r="D70" s="10"/>
      <c r="E70" s="11"/>
      <c r="F70" s="10"/>
      <c r="G70" s="10"/>
      <c r="H70" s="10"/>
      <c r="I70" s="10"/>
      <c r="J70" s="10"/>
      <c r="K70" s="12"/>
      <c r="L70" s="10"/>
      <c r="M70" s="10"/>
      <c r="N70" s="13"/>
      <c r="O70" s="10"/>
      <c r="P70" s="10"/>
      <c r="Q70" s="10"/>
      <c r="R70" s="18"/>
      <c r="S70" s="10"/>
      <c r="T70" s="10"/>
      <c r="U70" s="13"/>
      <c r="V70" s="13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3"/>
      <c r="AL70" s="14"/>
      <c r="AM70" s="15"/>
      <c r="AN70" s="15"/>
      <c r="AO70" s="13"/>
      <c r="AP70" s="13"/>
      <c r="AQ70" s="16"/>
      <c r="AR70" s="10"/>
      <c r="AS70" s="10"/>
      <c r="AT70" s="10"/>
      <c r="AU70" s="10"/>
      <c r="AV70" s="11"/>
      <c r="AW70" s="11"/>
      <c r="AX70" s="10"/>
      <c r="AY70" s="11"/>
      <c r="AZ70" s="11"/>
      <c r="BA70" s="11"/>
      <c r="BB70" s="10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7"/>
      <c r="CD70" s="17"/>
      <c r="CE70" s="11"/>
      <c r="CF70" s="13"/>
      <c r="CG70" s="13"/>
      <c r="CH70" s="13"/>
      <c r="CI70" s="13"/>
      <c r="CJ70" s="13"/>
    </row>
    <row r="71" spans="1:88" s="9" customFormat="1" x14ac:dyDescent="0.25">
      <c r="A71" s="10"/>
      <c r="B71" s="10"/>
      <c r="C71" s="10"/>
      <c r="D71" s="10"/>
      <c r="E71" s="11"/>
      <c r="F71" s="10"/>
      <c r="G71" s="10"/>
      <c r="H71" s="10"/>
      <c r="I71" s="10"/>
      <c r="J71" s="10"/>
      <c r="K71" s="12"/>
      <c r="L71" s="10"/>
      <c r="M71" s="10"/>
      <c r="N71" s="13"/>
      <c r="O71" s="10"/>
      <c r="P71" s="10"/>
      <c r="Q71" s="10"/>
      <c r="R71" s="18"/>
      <c r="S71" s="10"/>
      <c r="T71" s="10"/>
      <c r="U71" s="13"/>
      <c r="V71" s="13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3"/>
      <c r="AL71" s="14"/>
      <c r="AM71" s="15"/>
      <c r="AN71" s="15"/>
      <c r="AO71" s="13"/>
      <c r="AP71" s="13"/>
      <c r="AQ71" s="16"/>
      <c r="AR71" s="10"/>
      <c r="AS71" s="10"/>
      <c r="AT71" s="10"/>
      <c r="AU71" s="10"/>
      <c r="AV71" s="11"/>
      <c r="AW71" s="11"/>
      <c r="AX71" s="10"/>
      <c r="AY71" s="11"/>
      <c r="AZ71" s="11"/>
      <c r="BA71" s="11"/>
      <c r="BB71" s="10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7"/>
      <c r="CD71" s="17"/>
      <c r="CE71" s="11"/>
      <c r="CF71" s="13"/>
      <c r="CG71" s="13"/>
      <c r="CH71" s="13"/>
      <c r="CI71" s="13"/>
      <c r="CJ71" s="13"/>
    </row>
    <row r="72" spans="1:88" s="9" customFormat="1" x14ac:dyDescent="0.25">
      <c r="A72" s="10"/>
      <c r="B72" s="10"/>
      <c r="C72" s="10"/>
      <c r="D72" s="10"/>
      <c r="E72" s="11"/>
      <c r="F72" s="10"/>
      <c r="G72" s="10"/>
      <c r="H72" s="10"/>
      <c r="I72" s="10"/>
      <c r="J72" s="10"/>
      <c r="K72" s="12"/>
      <c r="L72" s="10"/>
      <c r="M72" s="10"/>
      <c r="N72" s="13"/>
      <c r="O72" s="10"/>
      <c r="P72" s="10"/>
      <c r="Q72" s="10"/>
      <c r="R72" s="18"/>
      <c r="S72" s="10"/>
      <c r="T72" s="10"/>
      <c r="U72" s="13"/>
      <c r="V72" s="13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3"/>
      <c r="AL72" s="14"/>
      <c r="AM72" s="15"/>
      <c r="AN72" s="15"/>
      <c r="AO72" s="13"/>
      <c r="AP72" s="13"/>
      <c r="AQ72" s="16"/>
      <c r="AR72" s="10"/>
      <c r="AS72" s="10"/>
      <c r="AT72" s="10"/>
      <c r="AU72" s="10"/>
      <c r="AV72" s="11"/>
      <c r="AW72" s="11"/>
      <c r="AX72" s="10"/>
      <c r="AY72" s="11"/>
      <c r="AZ72" s="11"/>
      <c r="BA72" s="11"/>
      <c r="BB72" s="10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7"/>
      <c r="CD72" s="17"/>
      <c r="CE72" s="11"/>
      <c r="CF72" s="13"/>
      <c r="CG72" s="13"/>
      <c r="CH72" s="13"/>
      <c r="CI72" s="13"/>
      <c r="CJ72" s="13"/>
    </row>
    <row r="73" spans="1:88" s="9" customFormat="1" x14ac:dyDescent="0.25">
      <c r="A73" s="10"/>
      <c r="B73" s="10"/>
      <c r="C73" s="10"/>
      <c r="D73" s="10"/>
      <c r="E73" s="11"/>
      <c r="F73" s="10"/>
      <c r="G73" s="10"/>
      <c r="H73" s="10"/>
      <c r="I73" s="10"/>
      <c r="J73" s="10"/>
      <c r="K73" s="12"/>
      <c r="L73" s="10"/>
      <c r="M73" s="10"/>
      <c r="N73" s="13"/>
      <c r="O73" s="10"/>
      <c r="P73" s="10"/>
      <c r="Q73" s="10"/>
      <c r="R73" s="18"/>
      <c r="S73" s="10"/>
      <c r="T73" s="10"/>
      <c r="U73" s="13"/>
      <c r="V73" s="13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3"/>
      <c r="AL73" s="14"/>
      <c r="AM73" s="15"/>
      <c r="AN73" s="15"/>
      <c r="AO73" s="13"/>
      <c r="AP73" s="13"/>
      <c r="AQ73" s="16"/>
      <c r="AR73" s="10"/>
      <c r="AS73" s="10"/>
      <c r="AT73" s="10"/>
      <c r="AU73" s="10"/>
      <c r="AV73" s="11"/>
      <c r="AW73" s="11"/>
      <c r="AX73" s="10"/>
      <c r="AY73" s="11"/>
      <c r="AZ73" s="11"/>
      <c r="BA73" s="11"/>
      <c r="BB73" s="10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7"/>
      <c r="CD73" s="17"/>
      <c r="CE73" s="11"/>
      <c r="CF73" s="13"/>
      <c r="CG73" s="13"/>
      <c r="CH73" s="13"/>
      <c r="CI73" s="13"/>
      <c r="CJ73" s="13"/>
    </row>
    <row r="74" spans="1:88" s="9" customFormat="1" x14ac:dyDescent="0.25">
      <c r="A74" s="10"/>
      <c r="B74" s="10"/>
      <c r="C74" s="10"/>
      <c r="D74" s="10"/>
      <c r="E74" s="11"/>
      <c r="F74" s="10"/>
      <c r="G74" s="10"/>
      <c r="H74" s="10"/>
      <c r="I74" s="10"/>
      <c r="J74" s="10"/>
      <c r="K74" s="12"/>
      <c r="L74" s="10"/>
      <c r="M74" s="10"/>
      <c r="N74" s="13"/>
      <c r="O74" s="10"/>
      <c r="P74" s="10"/>
      <c r="Q74" s="10"/>
      <c r="R74" s="18"/>
      <c r="S74" s="10"/>
      <c r="T74" s="10"/>
      <c r="U74" s="13"/>
      <c r="V74" s="13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3"/>
      <c r="AL74" s="14"/>
      <c r="AM74" s="15"/>
      <c r="AN74" s="15"/>
      <c r="AO74" s="13"/>
      <c r="AP74" s="13"/>
      <c r="AQ74" s="16"/>
      <c r="AR74" s="10"/>
      <c r="AS74" s="10"/>
      <c r="AT74" s="10"/>
      <c r="AU74" s="10"/>
      <c r="AV74" s="11"/>
      <c r="AW74" s="11"/>
      <c r="AX74" s="10"/>
      <c r="AY74" s="11"/>
      <c r="AZ74" s="11"/>
      <c r="BA74" s="11"/>
      <c r="BB74" s="10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7"/>
      <c r="CD74" s="17"/>
      <c r="CE74" s="11"/>
      <c r="CF74" s="13"/>
      <c r="CG74" s="13"/>
      <c r="CH74" s="13"/>
      <c r="CI74" s="13"/>
      <c r="CJ74" s="13"/>
    </row>
    <row r="75" spans="1:88" s="9" customFormat="1" x14ac:dyDescent="0.25">
      <c r="A75" s="10"/>
      <c r="B75" s="10"/>
      <c r="C75" s="10"/>
      <c r="D75" s="10"/>
      <c r="E75" s="11"/>
      <c r="F75" s="10"/>
      <c r="G75" s="10"/>
      <c r="H75" s="10"/>
      <c r="I75" s="10"/>
      <c r="J75" s="10"/>
      <c r="K75" s="12"/>
      <c r="L75" s="10"/>
      <c r="M75" s="10"/>
      <c r="N75" s="13"/>
      <c r="O75" s="10"/>
      <c r="P75" s="10"/>
      <c r="Q75" s="10"/>
      <c r="R75" s="18"/>
      <c r="S75" s="10"/>
      <c r="T75" s="10"/>
      <c r="U75" s="13"/>
      <c r="V75" s="13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3"/>
      <c r="AL75" s="14"/>
      <c r="AM75" s="15"/>
      <c r="AN75" s="15"/>
      <c r="AO75" s="13"/>
      <c r="AP75" s="13"/>
      <c r="AQ75" s="16"/>
      <c r="AR75" s="10"/>
      <c r="AS75" s="10"/>
      <c r="AT75" s="10"/>
      <c r="AU75" s="10"/>
      <c r="AV75" s="11"/>
      <c r="AW75" s="11"/>
      <c r="AX75" s="10"/>
      <c r="AY75" s="11"/>
      <c r="AZ75" s="11"/>
      <c r="BA75" s="11"/>
      <c r="BB75" s="10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7"/>
      <c r="CD75" s="17"/>
      <c r="CE75" s="11"/>
      <c r="CF75" s="13"/>
      <c r="CG75" s="13"/>
      <c r="CH75" s="13"/>
      <c r="CI75" s="13"/>
      <c r="CJ75" s="13"/>
    </row>
    <row r="76" spans="1:88" s="9" customFormat="1" x14ac:dyDescent="0.25">
      <c r="A76" s="10"/>
      <c r="B76" s="10"/>
      <c r="C76" s="10"/>
      <c r="D76" s="10"/>
      <c r="E76" s="11"/>
      <c r="F76" s="10"/>
      <c r="G76" s="10"/>
      <c r="H76" s="10"/>
      <c r="I76" s="10"/>
      <c r="J76" s="10"/>
      <c r="K76" s="12"/>
      <c r="L76" s="10"/>
      <c r="M76" s="10"/>
      <c r="N76" s="13"/>
      <c r="O76" s="10"/>
      <c r="P76" s="10"/>
      <c r="Q76" s="10"/>
      <c r="R76" s="18"/>
      <c r="S76" s="10"/>
      <c r="T76" s="10"/>
      <c r="U76" s="13"/>
      <c r="V76" s="13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3"/>
      <c r="AL76" s="14"/>
      <c r="AM76" s="15"/>
      <c r="AN76" s="15"/>
      <c r="AO76" s="13"/>
      <c r="AP76" s="13"/>
      <c r="AQ76" s="16"/>
      <c r="AR76" s="10"/>
      <c r="AS76" s="10"/>
      <c r="AT76" s="10"/>
      <c r="AU76" s="10"/>
      <c r="AV76" s="11"/>
      <c r="AW76" s="11"/>
      <c r="AX76" s="10"/>
      <c r="AY76" s="11"/>
      <c r="AZ76" s="11"/>
      <c r="BA76" s="11"/>
      <c r="BB76" s="10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7"/>
      <c r="CD76" s="17"/>
      <c r="CE76" s="11"/>
      <c r="CF76" s="13"/>
      <c r="CG76" s="13"/>
      <c r="CH76" s="13"/>
      <c r="CI76" s="13"/>
      <c r="CJ76" s="13"/>
    </row>
    <row r="77" spans="1:88" s="9" customFormat="1" x14ac:dyDescent="0.25">
      <c r="A77" s="10"/>
      <c r="B77" s="10"/>
      <c r="C77" s="10"/>
      <c r="D77" s="10"/>
      <c r="E77" s="11"/>
      <c r="F77" s="10"/>
      <c r="G77" s="10"/>
      <c r="H77" s="10"/>
      <c r="I77" s="10"/>
      <c r="J77" s="10"/>
      <c r="K77" s="12"/>
      <c r="L77" s="10"/>
      <c r="M77" s="10"/>
      <c r="N77" s="13"/>
      <c r="O77" s="10"/>
      <c r="P77" s="10"/>
      <c r="Q77" s="10"/>
      <c r="R77" s="18"/>
      <c r="S77" s="10"/>
      <c r="T77" s="10"/>
      <c r="U77" s="13"/>
      <c r="V77" s="13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3"/>
      <c r="AL77" s="14"/>
      <c r="AM77" s="15"/>
      <c r="AN77" s="15"/>
      <c r="AO77" s="13"/>
      <c r="AP77" s="13"/>
      <c r="AQ77" s="16"/>
      <c r="AR77" s="10"/>
      <c r="AS77" s="10"/>
      <c r="AT77" s="10"/>
      <c r="AU77" s="10"/>
      <c r="AV77" s="11"/>
      <c r="AW77" s="11"/>
      <c r="AX77" s="10"/>
      <c r="AY77" s="11"/>
      <c r="AZ77" s="11"/>
      <c r="BA77" s="11"/>
      <c r="BB77" s="10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7"/>
      <c r="CD77" s="17"/>
      <c r="CE77" s="11"/>
      <c r="CF77" s="13"/>
      <c r="CG77" s="13"/>
      <c r="CH77" s="13"/>
      <c r="CI77" s="13"/>
      <c r="CJ77" s="13"/>
    </row>
    <row r="78" spans="1:88" s="9" customFormat="1" x14ac:dyDescent="0.25">
      <c r="A78" s="10"/>
      <c r="B78" s="10"/>
      <c r="C78" s="10"/>
      <c r="D78" s="10"/>
      <c r="E78" s="11"/>
      <c r="F78" s="10"/>
      <c r="G78" s="10"/>
      <c r="H78" s="10"/>
      <c r="I78" s="10"/>
      <c r="J78" s="10"/>
      <c r="K78" s="12"/>
      <c r="L78" s="10"/>
      <c r="M78" s="10"/>
      <c r="N78" s="13"/>
      <c r="O78" s="10"/>
      <c r="P78" s="10"/>
      <c r="Q78" s="10"/>
      <c r="R78" s="18"/>
      <c r="S78" s="10"/>
      <c r="T78" s="10"/>
      <c r="U78" s="13"/>
      <c r="V78" s="13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3"/>
      <c r="AL78" s="14"/>
      <c r="AM78" s="15"/>
      <c r="AN78" s="15"/>
      <c r="AO78" s="13"/>
      <c r="AP78" s="13"/>
      <c r="AQ78" s="16"/>
      <c r="AR78" s="10"/>
      <c r="AS78" s="10"/>
      <c r="AT78" s="10"/>
      <c r="AU78" s="10"/>
      <c r="AV78" s="11"/>
      <c r="AW78" s="11"/>
      <c r="AX78" s="10"/>
      <c r="AY78" s="11"/>
      <c r="AZ78" s="11"/>
      <c r="BA78" s="11"/>
      <c r="BB78" s="10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7"/>
      <c r="CD78" s="17"/>
      <c r="CE78" s="11"/>
      <c r="CF78" s="13"/>
      <c r="CG78" s="13"/>
      <c r="CH78" s="13"/>
      <c r="CI78" s="13"/>
      <c r="CJ78" s="13"/>
    </row>
    <row r="79" spans="1:88" s="9" customFormat="1" x14ac:dyDescent="0.25">
      <c r="A79" s="10"/>
      <c r="B79" s="10"/>
      <c r="C79" s="10"/>
      <c r="D79" s="10"/>
      <c r="E79" s="11"/>
      <c r="F79" s="10"/>
      <c r="G79" s="10"/>
      <c r="H79" s="10"/>
      <c r="I79" s="10"/>
      <c r="J79" s="10"/>
      <c r="K79" s="12"/>
      <c r="L79" s="10"/>
      <c r="M79" s="10"/>
      <c r="N79" s="13"/>
      <c r="O79" s="10"/>
      <c r="P79" s="10"/>
      <c r="Q79" s="10"/>
      <c r="R79" s="18"/>
      <c r="S79" s="10"/>
      <c r="T79" s="10"/>
      <c r="U79" s="13"/>
      <c r="V79" s="13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3"/>
      <c r="AL79" s="14"/>
      <c r="AM79" s="15"/>
      <c r="AN79" s="15"/>
      <c r="AO79" s="13"/>
      <c r="AP79" s="13"/>
      <c r="AQ79" s="16"/>
      <c r="AR79" s="10"/>
      <c r="AS79" s="10"/>
      <c r="AT79" s="10"/>
      <c r="AU79" s="10"/>
      <c r="AV79" s="11"/>
      <c r="AW79" s="11"/>
      <c r="AX79" s="10"/>
      <c r="AY79" s="11"/>
      <c r="AZ79" s="11"/>
      <c r="BA79" s="11"/>
      <c r="BB79" s="10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7"/>
      <c r="CD79" s="17"/>
      <c r="CE79" s="11"/>
      <c r="CF79" s="13"/>
      <c r="CG79" s="13"/>
      <c r="CH79" s="13"/>
      <c r="CI79" s="13"/>
      <c r="CJ79" s="13"/>
    </row>
    <row r="80" spans="1:88" s="9" customFormat="1" x14ac:dyDescent="0.25">
      <c r="A80" s="10"/>
      <c r="B80" s="10"/>
      <c r="C80" s="10"/>
      <c r="D80" s="10"/>
      <c r="E80" s="11"/>
      <c r="F80" s="10"/>
      <c r="G80" s="10"/>
      <c r="H80" s="10"/>
      <c r="I80" s="10"/>
      <c r="J80" s="10"/>
      <c r="K80" s="12"/>
      <c r="L80" s="10"/>
      <c r="M80" s="10"/>
      <c r="N80" s="13"/>
      <c r="O80" s="10"/>
      <c r="P80" s="10"/>
      <c r="Q80" s="10"/>
      <c r="R80" s="18"/>
      <c r="S80" s="10"/>
      <c r="T80" s="10"/>
      <c r="U80" s="13"/>
      <c r="V80" s="13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3"/>
      <c r="AL80" s="14"/>
      <c r="AM80" s="15"/>
      <c r="AN80" s="15"/>
      <c r="AO80" s="13"/>
      <c r="AP80" s="13"/>
      <c r="AQ80" s="16"/>
      <c r="AR80" s="10"/>
      <c r="AS80" s="10"/>
      <c r="AT80" s="10"/>
      <c r="AU80" s="10"/>
      <c r="AV80" s="11"/>
      <c r="AW80" s="11"/>
      <c r="AX80" s="10"/>
      <c r="AY80" s="11"/>
      <c r="AZ80" s="11"/>
      <c r="BA80" s="11"/>
      <c r="BB80" s="10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7"/>
      <c r="CD80" s="17"/>
      <c r="CE80" s="11"/>
      <c r="CF80" s="13"/>
      <c r="CG80" s="13"/>
      <c r="CH80" s="13"/>
      <c r="CI80" s="13"/>
      <c r="CJ80" s="13"/>
    </row>
    <row r="81" spans="1:88" s="9" customFormat="1" x14ac:dyDescent="0.25">
      <c r="A81" s="10"/>
      <c r="B81" s="10"/>
      <c r="C81" s="10"/>
      <c r="D81" s="10"/>
      <c r="E81" s="11"/>
      <c r="F81" s="10"/>
      <c r="G81" s="10"/>
      <c r="H81" s="10"/>
      <c r="I81" s="10"/>
      <c r="J81" s="10"/>
      <c r="K81" s="12"/>
      <c r="L81" s="10"/>
      <c r="M81" s="10"/>
      <c r="N81" s="13"/>
      <c r="O81" s="10"/>
      <c r="P81" s="10"/>
      <c r="Q81" s="10"/>
      <c r="R81" s="18"/>
      <c r="S81" s="10"/>
      <c r="T81" s="10"/>
      <c r="U81" s="13"/>
      <c r="V81" s="13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3"/>
      <c r="AL81" s="14"/>
      <c r="AM81" s="15"/>
      <c r="AN81" s="15"/>
      <c r="AO81" s="13"/>
      <c r="AP81" s="13"/>
      <c r="AQ81" s="16"/>
      <c r="AR81" s="10"/>
      <c r="AS81" s="10"/>
      <c r="AT81" s="10"/>
      <c r="AU81" s="10"/>
      <c r="AV81" s="11"/>
      <c r="AW81" s="11"/>
      <c r="AX81" s="10"/>
      <c r="AY81" s="11"/>
      <c r="AZ81" s="11"/>
      <c r="BA81" s="11"/>
      <c r="BB81" s="10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7"/>
      <c r="CD81" s="17"/>
      <c r="CE81" s="11"/>
      <c r="CF81" s="13"/>
      <c r="CG81" s="13"/>
      <c r="CH81" s="13"/>
      <c r="CI81" s="13"/>
      <c r="CJ81" s="13"/>
    </row>
    <row r="82" spans="1:88" s="9" customFormat="1" x14ac:dyDescent="0.25">
      <c r="A82" s="10"/>
      <c r="B82" s="10"/>
      <c r="C82" s="10"/>
      <c r="D82" s="10"/>
      <c r="E82" s="11"/>
      <c r="F82" s="10"/>
      <c r="G82" s="10"/>
      <c r="H82" s="10"/>
      <c r="I82" s="10"/>
      <c r="J82" s="10"/>
      <c r="K82" s="12"/>
      <c r="L82" s="10"/>
      <c r="M82" s="10"/>
      <c r="N82" s="13"/>
      <c r="O82" s="10"/>
      <c r="P82" s="10"/>
      <c r="Q82" s="10"/>
      <c r="R82" s="18"/>
      <c r="S82" s="10"/>
      <c r="T82" s="10"/>
      <c r="U82" s="13"/>
      <c r="V82" s="13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3"/>
      <c r="AL82" s="14"/>
      <c r="AM82" s="15"/>
      <c r="AN82" s="15"/>
      <c r="AO82" s="13"/>
      <c r="AP82" s="13"/>
      <c r="AQ82" s="16"/>
      <c r="AR82" s="10"/>
      <c r="AS82" s="10"/>
      <c r="AT82" s="10"/>
      <c r="AU82" s="10"/>
      <c r="AV82" s="11"/>
      <c r="AW82" s="11"/>
      <c r="AX82" s="10"/>
      <c r="AY82" s="11"/>
      <c r="AZ82" s="11"/>
      <c r="BA82" s="11"/>
      <c r="BB82" s="10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7"/>
      <c r="CD82" s="17"/>
      <c r="CE82" s="11"/>
      <c r="CF82" s="13"/>
      <c r="CG82" s="13"/>
      <c r="CH82" s="13"/>
      <c r="CI82" s="13"/>
      <c r="CJ82" s="13"/>
    </row>
    <row r="83" spans="1:88" s="9" customFormat="1" x14ac:dyDescent="0.25">
      <c r="A83" s="10"/>
      <c r="B83" s="10"/>
      <c r="C83" s="10"/>
      <c r="D83" s="10"/>
      <c r="E83" s="11"/>
      <c r="F83" s="10"/>
      <c r="G83" s="10"/>
      <c r="H83" s="10"/>
      <c r="I83" s="10"/>
      <c r="J83" s="10"/>
      <c r="K83" s="12"/>
      <c r="L83" s="10"/>
      <c r="M83" s="10"/>
      <c r="N83" s="13"/>
      <c r="O83" s="10"/>
      <c r="P83" s="10"/>
      <c r="Q83" s="10"/>
      <c r="R83" s="18"/>
      <c r="S83" s="10"/>
      <c r="T83" s="10"/>
      <c r="U83" s="13"/>
      <c r="V83" s="13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3"/>
      <c r="AL83" s="14"/>
      <c r="AM83" s="15"/>
      <c r="AN83" s="15"/>
      <c r="AO83" s="13"/>
      <c r="AP83" s="13"/>
      <c r="AQ83" s="16"/>
      <c r="AR83" s="10"/>
      <c r="AS83" s="10"/>
      <c r="AT83" s="10"/>
      <c r="AU83" s="10"/>
      <c r="AV83" s="11"/>
      <c r="AW83" s="11"/>
      <c r="AX83" s="10"/>
      <c r="AY83" s="11"/>
      <c r="AZ83" s="11"/>
      <c r="BA83" s="11"/>
      <c r="BB83" s="10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7"/>
      <c r="CD83" s="17"/>
      <c r="CE83" s="11"/>
      <c r="CF83" s="13"/>
      <c r="CG83" s="13"/>
      <c r="CH83" s="13"/>
      <c r="CI83" s="13"/>
      <c r="CJ83" s="13"/>
    </row>
    <row r="84" spans="1:88" s="9" customFormat="1" x14ac:dyDescent="0.25">
      <c r="A84" s="10"/>
      <c r="B84" s="10"/>
      <c r="C84" s="10"/>
      <c r="D84" s="10"/>
      <c r="E84" s="11"/>
      <c r="F84" s="10"/>
      <c r="G84" s="10"/>
      <c r="H84" s="10"/>
      <c r="I84" s="10"/>
      <c r="J84" s="10"/>
      <c r="K84" s="12"/>
      <c r="L84" s="10"/>
      <c r="M84" s="10"/>
      <c r="N84" s="13"/>
      <c r="O84" s="10"/>
      <c r="P84" s="10"/>
      <c r="Q84" s="10"/>
      <c r="R84" s="18"/>
      <c r="S84" s="10"/>
      <c r="T84" s="10"/>
      <c r="U84" s="13"/>
      <c r="V84" s="13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3"/>
      <c r="AL84" s="14"/>
      <c r="AM84" s="15"/>
      <c r="AN84" s="15"/>
      <c r="AO84" s="13"/>
      <c r="AP84" s="13"/>
      <c r="AQ84" s="16"/>
      <c r="AR84" s="10"/>
      <c r="AS84" s="10"/>
      <c r="AT84" s="10"/>
      <c r="AU84" s="10"/>
      <c r="AV84" s="11"/>
      <c r="AW84" s="11"/>
      <c r="AX84" s="10"/>
      <c r="AY84" s="11"/>
      <c r="AZ84" s="11"/>
      <c r="BA84" s="11"/>
      <c r="BB84" s="10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7"/>
      <c r="CD84" s="17"/>
      <c r="CE84" s="11"/>
      <c r="CF84" s="13"/>
      <c r="CG84" s="13"/>
      <c r="CH84" s="13"/>
      <c r="CI84" s="13"/>
      <c r="CJ84" s="13"/>
    </row>
    <row r="85" spans="1:88" s="9" customFormat="1" x14ac:dyDescent="0.25">
      <c r="A85" s="10"/>
      <c r="B85" s="10"/>
      <c r="C85" s="10"/>
      <c r="D85" s="10"/>
      <c r="E85" s="11"/>
      <c r="F85" s="10"/>
      <c r="G85" s="10"/>
      <c r="H85" s="10"/>
      <c r="I85" s="10"/>
      <c r="J85" s="10"/>
      <c r="K85" s="12"/>
      <c r="L85" s="10"/>
      <c r="M85" s="10"/>
      <c r="N85" s="13"/>
      <c r="O85" s="10"/>
      <c r="P85" s="10"/>
      <c r="Q85" s="10"/>
      <c r="R85" s="18"/>
      <c r="S85" s="10"/>
      <c r="T85" s="10"/>
      <c r="U85" s="13"/>
      <c r="V85" s="13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3"/>
      <c r="AL85" s="14"/>
      <c r="AM85" s="15"/>
      <c r="AN85" s="15"/>
      <c r="AO85" s="13"/>
      <c r="AP85" s="13"/>
      <c r="AQ85" s="16"/>
      <c r="AR85" s="10"/>
      <c r="AS85" s="10"/>
      <c r="AT85" s="10"/>
      <c r="AU85" s="10"/>
      <c r="AV85" s="11"/>
      <c r="AW85" s="11"/>
      <c r="AX85" s="10"/>
      <c r="AY85" s="11"/>
      <c r="AZ85" s="11"/>
      <c r="BA85" s="11"/>
      <c r="BB85" s="10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7"/>
      <c r="CD85" s="17"/>
      <c r="CE85" s="11"/>
      <c r="CF85" s="13"/>
      <c r="CG85" s="13"/>
      <c r="CH85" s="13"/>
      <c r="CI85" s="13"/>
      <c r="CJ85" s="13"/>
    </row>
    <row r="86" spans="1:88" s="9" customFormat="1" x14ac:dyDescent="0.25">
      <c r="A86" s="10"/>
      <c r="B86" s="10"/>
      <c r="C86" s="10"/>
      <c r="D86" s="10"/>
      <c r="E86" s="11"/>
      <c r="F86" s="10"/>
      <c r="G86" s="10"/>
      <c r="H86" s="10"/>
      <c r="I86" s="10"/>
      <c r="J86" s="10"/>
      <c r="K86" s="12"/>
      <c r="L86" s="10"/>
      <c r="M86" s="10"/>
      <c r="N86" s="13"/>
      <c r="O86" s="10"/>
      <c r="P86" s="10"/>
      <c r="Q86" s="10"/>
      <c r="R86" s="18"/>
      <c r="S86" s="10"/>
      <c r="T86" s="10"/>
      <c r="U86" s="13"/>
      <c r="V86" s="13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3"/>
      <c r="AL86" s="14"/>
      <c r="AM86" s="15"/>
      <c r="AN86" s="15"/>
      <c r="AO86" s="13"/>
      <c r="AP86" s="13"/>
      <c r="AQ86" s="16"/>
      <c r="AR86" s="10"/>
      <c r="AS86" s="10"/>
      <c r="AT86" s="10"/>
      <c r="AU86" s="10"/>
      <c r="AV86" s="11"/>
      <c r="AW86" s="11"/>
      <c r="AX86" s="10"/>
      <c r="AY86" s="11"/>
      <c r="AZ86" s="11"/>
      <c r="BA86" s="11"/>
      <c r="BB86" s="10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7"/>
      <c r="CD86" s="17"/>
      <c r="CE86" s="11"/>
      <c r="CF86" s="13"/>
      <c r="CG86" s="13"/>
      <c r="CH86" s="13"/>
      <c r="CI86" s="13"/>
      <c r="CJ86" s="13"/>
    </row>
    <row r="87" spans="1:88" s="9" customFormat="1" x14ac:dyDescent="0.25">
      <c r="A87" s="10"/>
      <c r="B87" s="10"/>
      <c r="C87" s="10"/>
      <c r="D87" s="10"/>
      <c r="E87" s="11"/>
      <c r="F87" s="10"/>
      <c r="G87" s="10"/>
      <c r="H87" s="10"/>
      <c r="I87" s="10"/>
      <c r="J87" s="10"/>
      <c r="K87" s="12"/>
      <c r="L87" s="10"/>
      <c r="M87" s="10"/>
      <c r="N87" s="13"/>
      <c r="O87" s="10"/>
      <c r="P87" s="10"/>
      <c r="Q87" s="10"/>
      <c r="R87" s="18"/>
      <c r="S87" s="10"/>
      <c r="T87" s="10"/>
      <c r="U87" s="13"/>
      <c r="V87" s="13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3"/>
      <c r="AL87" s="14"/>
      <c r="AM87" s="15"/>
      <c r="AN87" s="15"/>
      <c r="AO87" s="13"/>
      <c r="AP87" s="13"/>
      <c r="AQ87" s="16"/>
      <c r="AR87" s="10"/>
      <c r="AS87" s="10"/>
      <c r="AT87" s="10"/>
      <c r="AU87" s="10"/>
      <c r="AV87" s="11"/>
      <c r="AW87" s="11"/>
      <c r="AX87" s="10"/>
      <c r="AY87" s="11"/>
      <c r="AZ87" s="11"/>
      <c r="BA87" s="11"/>
      <c r="BB87" s="10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7"/>
      <c r="CD87" s="17"/>
      <c r="CE87" s="11"/>
      <c r="CF87" s="13"/>
      <c r="CG87" s="13"/>
      <c r="CH87" s="13"/>
      <c r="CI87" s="13"/>
      <c r="CJ87" s="13"/>
    </row>
    <row r="88" spans="1:88" s="9" customFormat="1" x14ac:dyDescent="0.25">
      <c r="A88" s="10"/>
      <c r="B88" s="10"/>
      <c r="C88" s="10"/>
      <c r="D88" s="10"/>
      <c r="E88" s="11"/>
      <c r="F88" s="10"/>
      <c r="G88" s="10"/>
      <c r="H88" s="10"/>
      <c r="I88" s="10"/>
      <c r="J88" s="10"/>
      <c r="K88" s="12"/>
      <c r="L88" s="10"/>
      <c r="M88" s="10"/>
      <c r="N88" s="13"/>
      <c r="O88" s="10"/>
      <c r="P88" s="10"/>
      <c r="Q88" s="10"/>
      <c r="R88" s="18"/>
      <c r="S88" s="10"/>
      <c r="T88" s="10"/>
      <c r="U88" s="13"/>
      <c r="V88" s="13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3"/>
      <c r="AL88" s="14"/>
      <c r="AM88" s="15"/>
      <c r="AN88" s="15"/>
      <c r="AO88" s="13"/>
      <c r="AP88" s="13"/>
      <c r="AQ88" s="16"/>
      <c r="AR88" s="10"/>
      <c r="AS88" s="10"/>
      <c r="AT88" s="10"/>
      <c r="AU88" s="10"/>
      <c r="AV88" s="11"/>
      <c r="AW88" s="11"/>
      <c r="AX88" s="10"/>
      <c r="AY88" s="11"/>
      <c r="AZ88" s="11"/>
      <c r="BA88" s="11"/>
      <c r="BB88" s="10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7"/>
      <c r="CD88" s="17"/>
      <c r="CE88" s="11"/>
      <c r="CF88" s="13"/>
      <c r="CG88" s="13"/>
      <c r="CH88" s="13"/>
      <c r="CI88" s="13"/>
      <c r="CJ88" s="13"/>
    </row>
    <row r="89" spans="1:88" s="9" customFormat="1" x14ac:dyDescent="0.25">
      <c r="A89" s="10"/>
      <c r="B89" s="10"/>
      <c r="C89" s="10"/>
      <c r="D89" s="10"/>
      <c r="E89" s="11"/>
      <c r="F89" s="10"/>
      <c r="G89" s="10"/>
      <c r="H89" s="10"/>
      <c r="I89" s="10"/>
      <c r="J89" s="10"/>
      <c r="K89" s="12"/>
      <c r="L89" s="10"/>
      <c r="M89" s="10"/>
      <c r="N89" s="13"/>
      <c r="O89" s="10"/>
      <c r="P89" s="10"/>
      <c r="Q89" s="10"/>
      <c r="R89" s="18"/>
      <c r="S89" s="10"/>
      <c r="T89" s="10"/>
      <c r="U89" s="13"/>
      <c r="V89" s="13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3"/>
      <c r="AL89" s="14"/>
      <c r="AM89" s="15"/>
      <c r="AN89" s="15"/>
      <c r="AO89" s="13"/>
      <c r="AP89" s="13"/>
      <c r="AQ89" s="16"/>
      <c r="AR89" s="10"/>
      <c r="AS89" s="10"/>
      <c r="AT89" s="10"/>
      <c r="AU89" s="10"/>
      <c r="AV89" s="11"/>
      <c r="AW89" s="11"/>
      <c r="AX89" s="10"/>
      <c r="AY89" s="11"/>
      <c r="AZ89" s="11"/>
      <c r="BA89" s="11"/>
      <c r="BB89" s="10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7"/>
      <c r="CD89" s="17"/>
      <c r="CE89" s="11"/>
      <c r="CF89" s="13"/>
      <c r="CG89" s="13"/>
      <c r="CH89" s="13"/>
      <c r="CI89" s="13"/>
      <c r="CJ89" s="13"/>
    </row>
    <row r="90" spans="1:88" s="9" customFormat="1" x14ac:dyDescent="0.25">
      <c r="A90" s="10"/>
      <c r="B90" s="10"/>
      <c r="C90" s="10"/>
      <c r="D90" s="10"/>
      <c r="E90" s="11"/>
      <c r="F90" s="10"/>
      <c r="G90" s="10"/>
      <c r="H90" s="10"/>
      <c r="I90" s="10"/>
      <c r="J90" s="10"/>
      <c r="K90" s="12"/>
      <c r="L90" s="10"/>
      <c r="M90" s="10"/>
      <c r="N90" s="13"/>
      <c r="O90" s="10"/>
      <c r="P90" s="10"/>
      <c r="Q90" s="10"/>
      <c r="R90" s="18"/>
      <c r="S90" s="10"/>
      <c r="T90" s="10"/>
      <c r="U90" s="13"/>
      <c r="V90" s="13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3"/>
      <c r="AL90" s="14"/>
      <c r="AM90" s="15"/>
      <c r="AN90" s="15"/>
      <c r="AO90" s="13"/>
      <c r="AP90" s="13"/>
      <c r="AQ90" s="16"/>
      <c r="AR90" s="10"/>
      <c r="AS90" s="10"/>
      <c r="AT90" s="10"/>
      <c r="AU90" s="10"/>
      <c r="AV90" s="11"/>
      <c r="AW90" s="11"/>
      <c r="AX90" s="10"/>
      <c r="AY90" s="11"/>
      <c r="AZ90" s="11"/>
      <c r="BA90" s="11"/>
      <c r="BB90" s="10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7"/>
      <c r="CD90" s="17"/>
      <c r="CE90" s="11"/>
      <c r="CF90" s="13"/>
      <c r="CG90" s="13"/>
      <c r="CH90" s="13"/>
      <c r="CI90" s="13"/>
      <c r="CJ90" s="13"/>
    </row>
    <row r="91" spans="1:88" s="9" customFormat="1" x14ac:dyDescent="0.25">
      <c r="A91" s="10"/>
      <c r="B91" s="10"/>
      <c r="C91" s="10"/>
      <c r="D91" s="10"/>
      <c r="E91" s="11"/>
      <c r="F91" s="10"/>
      <c r="G91" s="10"/>
      <c r="H91" s="10"/>
      <c r="I91" s="10"/>
      <c r="J91" s="10"/>
      <c r="K91" s="12"/>
      <c r="L91" s="10"/>
      <c r="M91" s="10"/>
      <c r="N91" s="13"/>
      <c r="O91" s="10"/>
      <c r="P91" s="10"/>
      <c r="Q91" s="10"/>
      <c r="R91" s="18"/>
      <c r="S91" s="10"/>
      <c r="T91" s="10"/>
      <c r="U91" s="13"/>
      <c r="V91" s="13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3"/>
      <c r="AL91" s="14"/>
      <c r="AM91" s="15"/>
      <c r="AN91" s="15"/>
      <c r="AO91" s="13"/>
      <c r="AP91" s="13"/>
      <c r="AQ91" s="16"/>
      <c r="AR91" s="10"/>
      <c r="AS91" s="10"/>
      <c r="AT91" s="10"/>
      <c r="AU91" s="10"/>
      <c r="AV91" s="11"/>
      <c r="AW91" s="11"/>
      <c r="AX91" s="10"/>
      <c r="AY91" s="11"/>
      <c r="AZ91" s="11"/>
      <c r="BA91" s="11"/>
      <c r="BB91" s="10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7"/>
      <c r="CD91" s="17"/>
      <c r="CE91" s="11"/>
      <c r="CF91" s="13"/>
      <c r="CG91" s="13"/>
      <c r="CH91" s="13"/>
      <c r="CI91" s="13"/>
      <c r="CJ91" s="13"/>
    </row>
    <row r="92" spans="1:88" s="9" customFormat="1" x14ac:dyDescent="0.25">
      <c r="A92" s="10"/>
      <c r="B92" s="10"/>
      <c r="C92" s="10"/>
      <c r="D92" s="10"/>
      <c r="E92" s="11"/>
      <c r="F92" s="10"/>
      <c r="G92" s="10"/>
      <c r="H92" s="10"/>
      <c r="I92" s="10"/>
      <c r="J92" s="10"/>
      <c r="K92" s="12"/>
      <c r="L92" s="10"/>
      <c r="M92" s="10"/>
      <c r="N92" s="13"/>
      <c r="O92" s="10"/>
      <c r="P92" s="10"/>
      <c r="Q92" s="10"/>
      <c r="R92" s="18"/>
      <c r="S92" s="10"/>
      <c r="T92" s="10"/>
      <c r="U92" s="13"/>
      <c r="V92" s="13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3"/>
      <c r="AL92" s="14"/>
      <c r="AM92" s="15"/>
      <c r="AN92" s="15"/>
      <c r="AO92" s="13"/>
      <c r="AP92" s="13"/>
      <c r="AQ92" s="16"/>
      <c r="AR92" s="10"/>
      <c r="AS92" s="10"/>
      <c r="AT92" s="10"/>
      <c r="AU92" s="10"/>
      <c r="AV92" s="11"/>
      <c r="AW92" s="11"/>
      <c r="AX92" s="10"/>
      <c r="AY92" s="11"/>
      <c r="AZ92" s="11"/>
      <c r="BA92" s="11"/>
      <c r="BB92" s="10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7"/>
      <c r="CD92" s="17"/>
      <c r="CE92" s="11"/>
      <c r="CF92" s="13"/>
      <c r="CG92" s="13"/>
      <c r="CH92" s="13"/>
      <c r="CI92" s="13"/>
      <c r="CJ92" s="13"/>
    </row>
    <row r="93" spans="1:88" s="9" customFormat="1" x14ac:dyDescent="0.25">
      <c r="A93" s="10"/>
      <c r="B93" s="10"/>
      <c r="C93" s="10"/>
      <c r="D93" s="10"/>
      <c r="E93" s="11"/>
      <c r="F93" s="10"/>
      <c r="G93" s="10"/>
      <c r="H93" s="10"/>
      <c r="I93" s="10"/>
      <c r="J93" s="10"/>
      <c r="K93" s="12"/>
      <c r="L93" s="10"/>
      <c r="M93" s="10"/>
      <c r="N93" s="13"/>
      <c r="O93" s="10"/>
      <c r="P93" s="10"/>
      <c r="Q93" s="10"/>
      <c r="R93" s="18"/>
      <c r="S93" s="10"/>
      <c r="T93" s="10"/>
      <c r="U93" s="13"/>
      <c r="V93" s="13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3"/>
      <c r="AL93" s="14"/>
      <c r="AM93" s="15"/>
      <c r="AN93" s="15"/>
      <c r="AO93" s="13"/>
      <c r="AP93" s="13"/>
      <c r="AQ93" s="16"/>
      <c r="AR93" s="10"/>
      <c r="AS93" s="10"/>
      <c r="AT93" s="10"/>
      <c r="AU93" s="10"/>
      <c r="AV93" s="11"/>
      <c r="AW93" s="11"/>
      <c r="AX93" s="10"/>
      <c r="AY93" s="11"/>
      <c r="AZ93" s="11"/>
      <c r="BA93" s="11"/>
      <c r="BB93" s="10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7"/>
      <c r="CD93" s="17"/>
      <c r="CE93" s="11"/>
      <c r="CF93" s="13"/>
      <c r="CG93" s="13"/>
      <c r="CH93" s="13"/>
      <c r="CI93" s="13"/>
      <c r="CJ93" s="13"/>
    </row>
    <row r="94" spans="1:88" s="9" customFormat="1" x14ac:dyDescent="0.25">
      <c r="A94" s="10"/>
      <c r="B94" s="10"/>
      <c r="C94" s="10"/>
      <c r="D94" s="10"/>
      <c r="E94" s="11"/>
      <c r="F94" s="10"/>
      <c r="G94" s="10"/>
      <c r="H94" s="10"/>
      <c r="I94" s="10"/>
      <c r="J94" s="10"/>
      <c r="K94" s="12"/>
      <c r="L94" s="10"/>
      <c r="M94" s="10"/>
      <c r="N94" s="13"/>
      <c r="O94" s="10"/>
      <c r="P94" s="10"/>
      <c r="Q94" s="10"/>
      <c r="R94" s="18"/>
      <c r="S94" s="10"/>
      <c r="T94" s="10"/>
      <c r="U94" s="13"/>
      <c r="V94" s="13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3"/>
      <c r="AL94" s="14"/>
      <c r="AM94" s="15"/>
      <c r="AN94" s="15"/>
      <c r="AO94" s="13"/>
      <c r="AP94" s="13"/>
      <c r="AQ94" s="16"/>
      <c r="AR94" s="10"/>
      <c r="AS94" s="10"/>
      <c r="AT94" s="10"/>
      <c r="AU94" s="10"/>
      <c r="AV94" s="11"/>
      <c r="AW94" s="11"/>
      <c r="AX94" s="10"/>
      <c r="AY94" s="11"/>
      <c r="AZ94" s="11"/>
      <c r="BA94" s="11"/>
      <c r="BB94" s="10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7"/>
      <c r="CD94" s="17"/>
      <c r="CE94" s="11"/>
      <c r="CF94" s="13"/>
      <c r="CG94" s="13"/>
      <c r="CH94" s="13"/>
      <c r="CI94" s="13"/>
      <c r="CJ94" s="13"/>
    </row>
    <row r="95" spans="1:88" s="9" customFormat="1" x14ac:dyDescent="0.25">
      <c r="A95" s="10"/>
      <c r="B95" s="10"/>
      <c r="C95" s="10"/>
      <c r="D95" s="10"/>
      <c r="E95" s="11"/>
      <c r="F95" s="10"/>
      <c r="G95" s="10"/>
      <c r="H95" s="10"/>
      <c r="I95" s="10"/>
      <c r="J95" s="10"/>
      <c r="K95" s="12"/>
      <c r="L95" s="10"/>
      <c r="M95" s="10"/>
      <c r="N95" s="13"/>
      <c r="O95" s="10"/>
      <c r="P95" s="10"/>
      <c r="Q95" s="10"/>
      <c r="R95" s="18"/>
      <c r="S95" s="10"/>
      <c r="T95" s="10"/>
      <c r="U95" s="13"/>
      <c r="V95" s="13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3"/>
      <c r="AL95" s="14"/>
      <c r="AM95" s="15"/>
      <c r="AN95" s="15"/>
      <c r="AO95" s="13"/>
      <c r="AP95" s="13"/>
      <c r="AQ95" s="16"/>
      <c r="AR95" s="10"/>
      <c r="AS95" s="10"/>
      <c r="AT95" s="10"/>
      <c r="AU95" s="10"/>
      <c r="AV95" s="11"/>
      <c r="AW95" s="11"/>
      <c r="AX95" s="10"/>
      <c r="AY95" s="11"/>
      <c r="AZ95" s="11"/>
      <c r="BA95" s="11"/>
      <c r="BB95" s="10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7"/>
      <c r="CD95" s="17"/>
      <c r="CE95" s="11"/>
      <c r="CF95" s="13"/>
      <c r="CG95" s="13"/>
      <c r="CH95" s="13"/>
      <c r="CI95" s="13"/>
      <c r="CJ95" s="13"/>
    </row>
    <row r="96" spans="1:88" s="9" customFormat="1" x14ac:dyDescent="0.25">
      <c r="A96" s="10"/>
      <c r="B96" s="10"/>
      <c r="C96" s="10"/>
      <c r="D96" s="10"/>
      <c r="E96" s="11"/>
      <c r="F96" s="10"/>
      <c r="G96" s="10"/>
      <c r="H96" s="10"/>
      <c r="I96" s="10"/>
      <c r="J96" s="10"/>
      <c r="K96" s="12"/>
      <c r="L96" s="10"/>
      <c r="M96" s="10"/>
      <c r="N96" s="13"/>
      <c r="O96" s="10"/>
      <c r="P96" s="10"/>
      <c r="Q96" s="10"/>
      <c r="R96" s="18"/>
      <c r="S96" s="10"/>
      <c r="T96" s="10"/>
      <c r="U96" s="13"/>
      <c r="V96" s="13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3"/>
      <c r="AL96" s="14"/>
      <c r="AM96" s="15"/>
      <c r="AN96" s="15"/>
      <c r="AO96" s="13"/>
      <c r="AP96" s="13"/>
      <c r="AQ96" s="16"/>
      <c r="AR96" s="10"/>
      <c r="AS96" s="10"/>
      <c r="AT96" s="10"/>
      <c r="AU96" s="10"/>
      <c r="AV96" s="11"/>
      <c r="AW96" s="11"/>
      <c r="AX96" s="10"/>
      <c r="AY96" s="11"/>
      <c r="AZ96" s="11"/>
      <c r="BA96" s="11"/>
      <c r="BB96" s="10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7"/>
      <c r="CD96" s="17"/>
      <c r="CE96" s="11"/>
      <c r="CF96" s="13"/>
      <c r="CG96" s="13"/>
      <c r="CH96" s="13"/>
      <c r="CI96" s="13"/>
      <c r="CJ96" s="13"/>
    </row>
    <row r="97" spans="1:88" s="9" customFormat="1" x14ac:dyDescent="0.25">
      <c r="A97" s="10"/>
      <c r="B97" s="10"/>
      <c r="C97" s="10"/>
      <c r="D97" s="10"/>
      <c r="E97" s="11"/>
      <c r="F97" s="10"/>
      <c r="G97" s="10"/>
      <c r="H97" s="10"/>
      <c r="I97" s="10"/>
      <c r="J97" s="10"/>
      <c r="K97" s="12"/>
      <c r="L97" s="10"/>
      <c r="M97" s="10"/>
      <c r="N97" s="13"/>
      <c r="O97" s="10"/>
      <c r="P97" s="10"/>
      <c r="Q97" s="10"/>
      <c r="R97" s="18"/>
      <c r="S97" s="10"/>
      <c r="T97" s="10"/>
      <c r="U97" s="13"/>
      <c r="V97" s="13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3"/>
      <c r="AL97" s="14"/>
      <c r="AM97" s="15"/>
      <c r="AN97" s="15"/>
      <c r="AO97" s="13"/>
      <c r="AP97" s="13"/>
      <c r="AQ97" s="16"/>
      <c r="AR97" s="10"/>
      <c r="AS97" s="10"/>
      <c r="AT97" s="10"/>
      <c r="AU97" s="10"/>
      <c r="AV97" s="11"/>
      <c r="AW97" s="11"/>
      <c r="AX97" s="10"/>
      <c r="AY97" s="11"/>
      <c r="AZ97" s="11"/>
      <c r="BA97" s="11"/>
      <c r="BB97" s="10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7"/>
      <c r="CD97" s="17"/>
      <c r="CE97" s="11"/>
      <c r="CF97" s="13"/>
      <c r="CG97" s="13"/>
      <c r="CH97" s="13"/>
      <c r="CI97" s="13"/>
      <c r="CJ97" s="13"/>
    </row>
    <row r="98" spans="1:88" s="9" customFormat="1" x14ac:dyDescent="0.25">
      <c r="A98" s="10"/>
      <c r="B98" s="10"/>
      <c r="C98" s="10"/>
      <c r="D98" s="10"/>
      <c r="E98" s="11"/>
      <c r="F98" s="10"/>
      <c r="G98" s="10"/>
      <c r="H98" s="10"/>
      <c r="I98" s="10"/>
      <c r="J98" s="10"/>
      <c r="K98" s="12"/>
      <c r="L98" s="10"/>
      <c r="M98" s="10"/>
      <c r="N98" s="13"/>
      <c r="O98" s="10"/>
      <c r="P98" s="10"/>
      <c r="Q98" s="10"/>
      <c r="R98" s="18"/>
      <c r="S98" s="10"/>
      <c r="T98" s="10"/>
      <c r="U98" s="13"/>
      <c r="V98" s="13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3"/>
      <c r="AL98" s="14"/>
      <c r="AM98" s="15"/>
      <c r="AN98" s="15"/>
      <c r="AO98" s="13"/>
      <c r="AP98" s="13"/>
      <c r="AQ98" s="16"/>
      <c r="AR98" s="10"/>
      <c r="AS98" s="10"/>
      <c r="AT98" s="10"/>
      <c r="AU98" s="10"/>
      <c r="AV98" s="11"/>
      <c r="AW98" s="11"/>
      <c r="AX98" s="10"/>
      <c r="AY98" s="11"/>
      <c r="AZ98" s="11"/>
      <c r="BA98" s="11"/>
      <c r="BB98" s="10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7"/>
      <c r="CD98" s="17"/>
      <c r="CE98" s="11"/>
      <c r="CF98" s="13"/>
      <c r="CG98" s="13"/>
      <c r="CH98" s="13"/>
      <c r="CI98" s="13"/>
      <c r="CJ98" s="13"/>
    </row>
    <row r="99" spans="1:88" s="9" customFormat="1" x14ac:dyDescent="0.25">
      <c r="A99" s="10"/>
      <c r="B99" s="10"/>
      <c r="C99" s="10"/>
      <c r="D99" s="10"/>
      <c r="E99" s="11"/>
      <c r="F99" s="10"/>
      <c r="G99" s="10"/>
      <c r="H99" s="10"/>
      <c r="I99" s="10"/>
      <c r="J99" s="10"/>
      <c r="K99" s="12"/>
      <c r="L99" s="10"/>
      <c r="M99" s="10"/>
      <c r="N99" s="13"/>
      <c r="O99" s="10"/>
      <c r="P99" s="10"/>
      <c r="Q99" s="10"/>
      <c r="R99" s="18"/>
      <c r="S99" s="10"/>
      <c r="T99" s="10"/>
      <c r="U99" s="13"/>
      <c r="V99" s="13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3"/>
      <c r="AL99" s="14"/>
      <c r="AM99" s="15"/>
      <c r="AN99" s="15"/>
      <c r="AO99" s="13"/>
      <c r="AP99" s="13"/>
      <c r="AQ99" s="16"/>
      <c r="AR99" s="10"/>
      <c r="AS99" s="10"/>
      <c r="AT99" s="10"/>
      <c r="AU99" s="10"/>
      <c r="AV99" s="11"/>
      <c r="AW99" s="11"/>
      <c r="AX99" s="10"/>
      <c r="AY99" s="11"/>
      <c r="AZ99" s="11"/>
      <c r="BA99" s="11"/>
      <c r="BB99" s="10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7"/>
      <c r="CD99" s="17"/>
      <c r="CE99" s="11"/>
      <c r="CF99" s="13"/>
      <c r="CG99" s="13"/>
      <c r="CH99" s="13"/>
      <c r="CI99" s="13"/>
      <c r="CJ99" s="13"/>
    </row>
    <row r="100" spans="1:88" s="9" customFormat="1" x14ac:dyDescent="0.25">
      <c r="A100" s="10"/>
      <c r="B100" s="10"/>
      <c r="C100" s="10"/>
      <c r="D100" s="10"/>
      <c r="E100" s="11"/>
      <c r="F100" s="10"/>
      <c r="G100" s="10"/>
      <c r="H100" s="10"/>
      <c r="I100" s="10"/>
      <c r="J100" s="10"/>
      <c r="K100" s="12"/>
      <c r="L100" s="10"/>
      <c r="M100" s="10"/>
      <c r="N100" s="13"/>
      <c r="O100" s="10"/>
      <c r="P100" s="10"/>
      <c r="Q100" s="10"/>
      <c r="R100" s="18"/>
      <c r="S100" s="10"/>
      <c r="T100" s="10"/>
      <c r="U100" s="13"/>
      <c r="V100" s="13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3"/>
      <c r="AL100" s="14"/>
      <c r="AM100" s="15"/>
      <c r="AN100" s="15"/>
      <c r="AO100" s="13"/>
      <c r="AP100" s="13"/>
      <c r="AQ100" s="16"/>
      <c r="AR100" s="10"/>
      <c r="AS100" s="10"/>
      <c r="AT100" s="10"/>
      <c r="AU100" s="10"/>
      <c r="AV100" s="11"/>
      <c r="AW100" s="11"/>
      <c r="AX100" s="10"/>
      <c r="AY100" s="11"/>
      <c r="AZ100" s="11"/>
      <c r="BA100" s="11"/>
      <c r="BB100" s="10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7"/>
      <c r="CD100" s="17"/>
      <c r="CE100" s="11"/>
      <c r="CF100" s="13"/>
      <c r="CG100" s="13"/>
      <c r="CH100" s="13"/>
      <c r="CI100" s="13"/>
      <c r="CJ100" s="13"/>
    </row>
    <row r="101" spans="1:88" s="9" customFormat="1" x14ac:dyDescent="0.25">
      <c r="A101" s="10"/>
      <c r="B101" s="10"/>
      <c r="C101" s="10"/>
      <c r="D101" s="10"/>
      <c r="E101" s="11"/>
      <c r="F101" s="10"/>
      <c r="G101" s="10"/>
      <c r="H101" s="10"/>
      <c r="I101" s="10"/>
      <c r="J101" s="10"/>
      <c r="K101" s="12"/>
      <c r="L101" s="10"/>
      <c r="M101" s="10"/>
      <c r="N101" s="13"/>
      <c r="O101" s="10"/>
      <c r="P101" s="10"/>
      <c r="Q101" s="10"/>
      <c r="R101" s="18"/>
      <c r="S101" s="10"/>
      <c r="T101" s="10"/>
      <c r="U101" s="13"/>
      <c r="V101" s="13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3"/>
      <c r="AL101" s="14"/>
      <c r="AM101" s="15"/>
      <c r="AN101" s="15"/>
      <c r="AO101" s="13"/>
      <c r="AP101" s="13"/>
      <c r="AQ101" s="16"/>
      <c r="AR101" s="10"/>
      <c r="AS101" s="10"/>
      <c r="AT101" s="10"/>
      <c r="AU101" s="10"/>
      <c r="AV101" s="11"/>
      <c r="AW101" s="11"/>
      <c r="AX101" s="10"/>
      <c r="AY101" s="11"/>
      <c r="AZ101" s="11"/>
      <c r="BA101" s="11"/>
      <c r="BB101" s="10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7"/>
      <c r="CD101" s="17"/>
      <c r="CE101" s="11"/>
      <c r="CF101" s="13"/>
      <c r="CG101" s="13"/>
      <c r="CH101" s="13"/>
      <c r="CI101" s="13"/>
      <c r="CJ101" s="13"/>
    </row>
    <row r="102" spans="1:88" s="9" customFormat="1" x14ac:dyDescent="0.25">
      <c r="A102" s="10"/>
      <c r="B102" s="10"/>
      <c r="C102" s="10"/>
      <c r="D102" s="10"/>
      <c r="E102" s="11"/>
      <c r="F102" s="10"/>
      <c r="G102" s="10"/>
      <c r="H102" s="10"/>
      <c r="I102" s="10"/>
      <c r="J102" s="10"/>
      <c r="K102" s="12"/>
      <c r="L102" s="10"/>
      <c r="M102" s="10"/>
      <c r="N102" s="13"/>
      <c r="O102" s="10"/>
      <c r="P102" s="10"/>
      <c r="Q102" s="10"/>
      <c r="R102" s="18"/>
      <c r="S102" s="10"/>
      <c r="T102" s="10"/>
      <c r="U102" s="13"/>
      <c r="V102" s="13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3"/>
      <c r="AL102" s="14"/>
      <c r="AM102" s="15"/>
      <c r="AN102" s="15"/>
      <c r="AO102" s="13"/>
      <c r="AP102" s="13"/>
      <c r="AQ102" s="16"/>
      <c r="AR102" s="10"/>
      <c r="AS102" s="10"/>
      <c r="AT102" s="10"/>
      <c r="AU102" s="10"/>
      <c r="AV102" s="11"/>
      <c r="AW102" s="11"/>
      <c r="AX102" s="10"/>
      <c r="AY102" s="11"/>
      <c r="AZ102" s="11"/>
      <c r="BA102" s="11"/>
      <c r="BB102" s="10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7"/>
      <c r="CD102" s="17"/>
      <c r="CE102" s="11"/>
      <c r="CF102" s="13"/>
      <c r="CG102" s="13"/>
      <c r="CH102" s="13"/>
      <c r="CI102" s="13"/>
      <c r="CJ102" s="13"/>
    </row>
    <row r="103" spans="1:88" s="9" customFormat="1" x14ac:dyDescent="0.25">
      <c r="A103" s="10"/>
      <c r="B103" s="10"/>
      <c r="C103" s="10"/>
      <c r="D103" s="10"/>
      <c r="E103" s="11"/>
      <c r="F103" s="10"/>
      <c r="G103" s="10"/>
      <c r="H103" s="10"/>
      <c r="I103" s="10"/>
      <c r="J103" s="10"/>
      <c r="K103" s="12"/>
      <c r="L103" s="10"/>
      <c r="M103" s="10"/>
      <c r="N103" s="13"/>
      <c r="O103" s="10"/>
      <c r="P103" s="10"/>
      <c r="Q103" s="10"/>
      <c r="R103" s="18"/>
      <c r="S103" s="10"/>
      <c r="T103" s="10"/>
      <c r="U103" s="13"/>
      <c r="V103" s="13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3"/>
      <c r="AL103" s="14"/>
      <c r="AM103" s="15"/>
      <c r="AN103" s="15"/>
      <c r="AO103" s="13"/>
      <c r="AP103" s="13"/>
      <c r="AQ103" s="16"/>
      <c r="AR103" s="10"/>
      <c r="AS103" s="10"/>
      <c r="AT103" s="10"/>
      <c r="AU103" s="10"/>
      <c r="AV103" s="11"/>
      <c r="AW103" s="11"/>
      <c r="AX103" s="10"/>
      <c r="AY103" s="11"/>
      <c r="AZ103" s="11"/>
      <c r="BA103" s="11"/>
      <c r="BB103" s="10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7"/>
      <c r="CD103" s="17"/>
      <c r="CE103" s="11"/>
      <c r="CF103" s="13"/>
      <c r="CG103" s="13"/>
      <c r="CH103" s="13"/>
      <c r="CI103" s="13"/>
      <c r="CJ103" s="13"/>
    </row>
    <row r="104" spans="1:88" s="9" customFormat="1" x14ac:dyDescent="0.25">
      <c r="A104" s="10"/>
      <c r="B104" s="10"/>
      <c r="C104" s="10"/>
      <c r="D104" s="10"/>
      <c r="E104" s="11"/>
      <c r="F104" s="10"/>
      <c r="G104" s="10"/>
      <c r="H104" s="10"/>
      <c r="I104" s="10"/>
      <c r="J104" s="10"/>
      <c r="K104" s="12"/>
      <c r="L104" s="10"/>
      <c r="M104" s="10"/>
      <c r="N104" s="13"/>
      <c r="O104" s="10"/>
      <c r="P104" s="10"/>
      <c r="Q104" s="10"/>
      <c r="R104" s="18"/>
      <c r="S104" s="10"/>
      <c r="T104" s="10"/>
      <c r="U104" s="13"/>
      <c r="V104" s="13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3"/>
      <c r="AL104" s="14"/>
      <c r="AM104" s="15"/>
      <c r="AN104" s="15"/>
      <c r="AO104" s="13"/>
      <c r="AP104" s="13"/>
      <c r="AQ104" s="16"/>
      <c r="AR104" s="10"/>
      <c r="AS104" s="10"/>
      <c r="AT104" s="10"/>
      <c r="AU104" s="10"/>
      <c r="AV104" s="11"/>
      <c r="AW104" s="11"/>
      <c r="AX104" s="10"/>
      <c r="AY104" s="11"/>
      <c r="AZ104" s="11"/>
      <c r="BA104" s="11"/>
      <c r="BB104" s="10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7"/>
      <c r="CD104" s="17"/>
      <c r="CE104" s="11"/>
      <c r="CF104" s="13"/>
      <c r="CG104" s="13"/>
      <c r="CH104" s="13"/>
      <c r="CI104" s="13"/>
      <c r="CJ104" s="13"/>
    </row>
    <row r="105" spans="1:88" s="9" customFormat="1" x14ac:dyDescent="0.25">
      <c r="A105" s="10"/>
      <c r="B105" s="10"/>
      <c r="C105" s="10"/>
      <c r="D105" s="10"/>
      <c r="E105" s="11"/>
      <c r="F105" s="10"/>
      <c r="G105" s="10"/>
      <c r="H105" s="10"/>
      <c r="I105" s="10"/>
      <c r="J105" s="10"/>
      <c r="K105" s="12"/>
      <c r="L105" s="10"/>
      <c r="M105" s="10"/>
      <c r="N105" s="13"/>
      <c r="O105" s="10"/>
      <c r="P105" s="10"/>
      <c r="Q105" s="10"/>
      <c r="R105" s="18"/>
      <c r="S105" s="10"/>
      <c r="T105" s="10"/>
      <c r="U105" s="13"/>
      <c r="V105" s="13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3"/>
      <c r="AL105" s="14"/>
      <c r="AM105" s="15"/>
      <c r="AN105" s="15"/>
      <c r="AO105" s="13"/>
      <c r="AP105" s="13"/>
      <c r="AQ105" s="16"/>
      <c r="AR105" s="10"/>
      <c r="AS105" s="10"/>
      <c r="AT105" s="10"/>
      <c r="AU105" s="10"/>
      <c r="AV105" s="11"/>
      <c r="AW105" s="11"/>
      <c r="AX105" s="10"/>
      <c r="AY105" s="11"/>
      <c r="AZ105" s="11"/>
      <c r="BA105" s="11"/>
      <c r="BB105" s="10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7"/>
      <c r="CD105" s="17"/>
      <c r="CE105" s="11"/>
      <c r="CF105" s="13"/>
      <c r="CG105" s="13"/>
      <c r="CH105" s="13"/>
      <c r="CI105" s="13"/>
      <c r="CJ105" s="13"/>
    </row>
    <row r="106" spans="1:88" s="9" customFormat="1" x14ac:dyDescent="0.25">
      <c r="A106" s="10"/>
      <c r="B106" s="10"/>
      <c r="C106" s="10"/>
      <c r="D106" s="10"/>
      <c r="E106" s="11"/>
      <c r="F106" s="10"/>
      <c r="G106" s="10"/>
      <c r="H106" s="10"/>
      <c r="I106" s="10"/>
      <c r="J106" s="10"/>
      <c r="K106" s="12"/>
      <c r="L106" s="10"/>
      <c r="M106" s="10"/>
      <c r="N106" s="13"/>
      <c r="O106" s="10"/>
      <c r="P106" s="10"/>
      <c r="Q106" s="10"/>
      <c r="R106" s="18"/>
      <c r="S106" s="10"/>
      <c r="T106" s="10"/>
      <c r="U106" s="13"/>
      <c r="V106" s="13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3"/>
      <c r="AL106" s="14"/>
      <c r="AM106" s="15"/>
      <c r="AN106" s="15"/>
      <c r="AO106" s="13"/>
      <c r="AP106" s="13"/>
      <c r="AQ106" s="16"/>
      <c r="AR106" s="10"/>
      <c r="AS106" s="10"/>
      <c r="AT106" s="10"/>
      <c r="AU106" s="10"/>
      <c r="AV106" s="11"/>
      <c r="AW106" s="11"/>
      <c r="AX106" s="10"/>
      <c r="AY106" s="11"/>
      <c r="AZ106" s="11"/>
      <c r="BA106" s="11"/>
      <c r="BB106" s="10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7"/>
      <c r="CD106" s="17"/>
      <c r="CE106" s="11"/>
      <c r="CF106" s="13"/>
      <c r="CG106" s="13"/>
      <c r="CH106" s="13"/>
      <c r="CI106" s="13"/>
      <c r="CJ106" s="13"/>
    </row>
    <row r="107" spans="1:88" s="9" customFormat="1" x14ac:dyDescent="0.25">
      <c r="A107" s="10"/>
      <c r="B107" s="10"/>
      <c r="C107" s="10"/>
      <c r="D107" s="10"/>
      <c r="E107" s="11"/>
      <c r="F107" s="10"/>
      <c r="G107" s="10"/>
      <c r="H107" s="10"/>
      <c r="I107" s="10"/>
      <c r="J107" s="10"/>
      <c r="K107" s="12"/>
      <c r="L107" s="10"/>
      <c r="M107" s="10"/>
      <c r="N107" s="13"/>
      <c r="O107" s="10"/>
      <c r="P107" s="10"/>
      <c r="Q107" s="10"/>
      <c r="R107" s="18"/>
      <c r="S107" s="10"/>
      <c r="T107" s="10"/>
      <c r="U107" s="13"/>
      <c r="V107" s="13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3"/>
      <c r="AL107" s="14"/>
      <c r="AM107" s="15"/>
      <c r="AN107" s="15"/>
      <c r="AO107" s="13"/>
      <c r="AP107" s="13"/>
      <c r="AQ107" s="16"/>
      <c r="AR107" s="10"/>
      <c r="AS107" s="10"/>
      <c r="AT107" s="10"/>
      <c r="AU107" s="10"/>
      <c r="AV107" s="11"/>
      <c r="AW107" s="11"/>
      <c r="AX107" s="10"/>
      <c r="AY107" s="11"/>
      <c r="AZ107" s="11"/>
      <c r="BA107" s="11"/>
      <c r="BB107" s="10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7"/>
      <c r="CD107" s="17"/>
      <c r="CE107" s="11"/>
      <c r="CF107" s="13"/>
      <c r="CG107" s="13"/>
      <c r="CH107" s="13"/>
      <c r="CI107" s="13"/>
      <c r="CJ107" s="13"/>
    </row>
    <row r="108" spans="1:88" s="9" customFormat="1" x14ac:dyDescent="0.25">
      <c r="A108" s="10"/>
      <c r="B108" s="10"/>
      <c r="C108" s="10"/>
      <c r="D108" s="10"/>
      <c r="E108" s="11"/>
      <c r="F108" s="10"/>
      <c r="G108" s="10"/>
      <c r="H108" s="10"/>
      <c r="I108" s="10"/>
      <c r="J108" s="10"/>
      <c r="K108" s="12"/>
      <c r="L108" s="10"/>
      <c r="M108" s="10"/>
      <c r="N108" s="13"/>
      <c r="O108" s="10"/>
      <c r="P108" s="10"/>
      <c r="Q108" s="10"/>
      <c r="R108" s="18"/>
      <c r="S108" s="10"/>
      <c r="T108" s="10"/>
      <c r="U108" s="13"/>
      <c r="V108" s="13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3"/>
      <c r="AL108" s="14"/>
      <c r="AM108" s="15"/>
      <c r="AN108" s="15"/>
      <c r="AO108" s="13"/>
      <c r="AP108" s="13"/>
      <c r="AQ108" s="16"/>
      <c r="AR108" s="10"/>
      <c r="AS108" s="10"/>
      <c r="AT108" s="10"/>
      <c r="AU108" s="10"/>
      <c r="AV108" s="11"/>
      <c r="AW108" s="11"/>
      <c r="AX108" s="10"/>
      <c r="AY108" s="11"/>
      <c r="AZ108" s="11"/>
      <c r="BA108" s="11"/>
      <c r="BB108" s="10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7"/>
      <c r="CD108" s="17"/>
      <c r="CE108" s="11"/>
      <c r="CF108" s="13"/>
      <c r="CG108" s="13"/>
      <c r="CH108" s="13"/>
      <c r="CI108" s="13"/>
      <c r="CJ108" s="13"/>
    </row>
    <row r="109" spans="1:88" s="9" customFormat="1" x14ac:dyDescent="0.25">
      <c r="A109" s="10"/>
      <c r="B109" s="10"/>
      <c r="C109" s="10"/>
      <c r="D109" s="10"/>
      <c r="E109" s="11"/>
      <c r="F109" s="10"/>
      <c r="G109" s="10"/>
      <c r="H109" s="10"/>
      <c r="I109" s="10"/>
      <c r="J109" s="10"/>
      <c r="K109" s="12"/>
      <c r="L109" s="10"/>
      <c r="M109" s="10"/>
      <c r="N109" s="13"/>
      <c r="O109" s="10"/>
      <c r="P109" s="10"/>
      <c r="Q109" s="10"/>
      <c r="R109" s="18"/>
      <c r="S109" s="10"/>
      <c r="T109" s="10"/>
      <c r="U109" s="13"/>
      <c r="V109" s="13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3"/>
      <c r="AL109" s="14"/>
      <c r="AM109" s="15"/>
      <c r="AN109" s="15"/>
      <c r="AO109" s="13"/>
      <c r="AP109" s="13"/>
      <c r="AQ109" s="16"/>
      <c r="AR109" s="10"/>
      <c r="AS109" s="10"/>
      <c r="AT109" s="10"/>
      <c r="AU109" s="10"/>
      <c r="AV109" s="11"/>
      <c r="AW109" s="11"/>
      <c r="AX109" s="10"/>
      <c r="AY109" s="11"/>
      <c r="AZ109" s="11"/>
      <c r="BA109" s="11"/>
      <c r="BB109" s="10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7"/>
      <c r="CD109" s="17"/>
      <c r="CE109" s="11"/>
      <c r="CF109" s="13"/>
      <c r="CG109" s="13"/>
      <c r="CH109" s="13"/>
      <c r="CI109" s="13"/>
      <c r="CJ109" s="13"/>
    </row>
    <row r="110" spans="1:88" s="9" customFormat="1" x14ac:dyDescent="0.25">
      <c r="A110" s="10"/>
      <c r="B110" s="10"/>
      <c r="C110" s="10"/>
      <c r="D110" s="10"/>
      <c r="E110" s="11"/>
      <c r="F110" s="10"/>
      <c r="G110" s="10"/>
      <c r="H110" s="10"/>
      <c r="I110" s="10"/>
      <c r="J110" s="10"/>
      <c r="K110" s="12"/>
      <c r="L110" s="10"/>
      <c r="M110" s="10"/>
      <c r="N110" s="13"/>
      <c r="O110" s="10"/>
      <c r="P110" s="10"/>
      <c r="Q110" s="10"/>
      <c r="R110" s="18"/>
      <c r="S110" s="10"/>
      <c r="T110" s="10"/>
      <c r="U110" s="13"/>
      <c r="V110" s="13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3"/>
      <c r="AL110" s="14"/>
      <c r="AM110" s="15"/>
      <c r="AN110" s="15"/>
      <c r="AO110" s="13"/>
      <c r="AP110" s="13"/>
      <c r="AQ110" s="16"/>
      <c r="AR110" s="10"/>
      <c r="AS110" s="10"/>
      <c r="AT110" s="10"/>
      <c r="AU110" s="10"/>
      <c r="AV110" s="11"/>
      <c r="AW110" s="11"/>
      <c r="AX110" s="10"/>
      <c r="AY110" s="11"/>
      <c r="AZ110" s="11"/>
      <c r="BA110" s="11"/>
      <c r="BB110" s="10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7"/>
      <c r="CD110" s="17"/>
      <c r="CE110" s="11"/>
      <c r="CF110" s="13"/>
      <c r="CG110" s="13"/>
      <c r="CH110" s="13"/>
      <c r="CI110" s="13"/>
      <c r="CJ110" s="13"/>
    </row>
    <row r="111" spans="1:88" s="9" customFormat="1" x14ac:dyDescent="0.25">
      <c r="A111" s="10"/>
      <c r="B111" s="10"/>
      <c r="C111" s="10"/>
      <c r="D111" s="10"/>
      <c r="E111" s="11"/>
      <c r="F111" s="10"/>
      <c r="G111" s="10"/>
      <c r="H111" s="10"/>
      <c r="I111" s="10"/>
      <c r="J111" s="10"/>
      <c r="K111" s="12"/>
      <c r="L111" s="10"/>
      <c r="M111" s="10"/>
      <c r="N111" s="13"/>
      <c r="O111" s="10"/>
      <c r="P111" s="10"/>
      <c r="Q111" s="10"/>
      <c r="R111" s="18"/>
      <c r="S111" s="10"/>
      <c r="T111" s="10"/>
      <c r="U111" s="13"/>
      <c r="V111" s="13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3"/>
      <c r="AL111" s="14"/>
      <c r="AM111" s="15"/>
      <c r="AN111" s="15"/>
      <c r="AO111" s="13"/>
      <c r="AP111" s="13"/>
      <c r="AQ111" s="16"/>
      <c r="AR111" s="10"/>
      <c r="AS111" s="10"/>
      <c r="AT111" s="10"/>
      <c r="AU111" s="10"/>
      <c r="AV111" s="11"/>
      <c r="AW111" s="11"/>
      <c r="AX111" s="10"/>
      <c r="AY111" s="11"/>
      <c r="AZ111" s="11"/>
      <c r="BA111" s="11"/>
      <c r="BB111" s="10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7"/>
      <c r="CD111" s="17"/>
      <c r="CE111" s="11"/>
      <c r="CF111" s="13"/>
      <c r="CG111" s="13"/>
      <c r="CH111" s="13"/>
      <c r="CI111" s="13"/>
      <c r="CJ111" s="13"/>
    </row>
    <row r="112" spans="1:88" s="9" customFormat="1" x14ac:dyDescent="0.25">
      <c r="A112" s="10"/>
      <c r="B112" s="10"/>
      <c r="C112" s="10"/>
      <c r="D112" s="10"/>
      <c r="E112" s="11"/>
      <c r="F112" s="10"/>
      <c r="G112" s="10"/>
      <c r="H112" s="10"/>
      <c r="I112" s="10"/>
      <c r="J112" s="10"/>
      <c r="K112" s="12"/>
      <c r="L112" s="10"/>
      <c r="M112" s="10"/>
      <c r="N112" s="13"/>
      <c r="O112" s="10"/>
      <c r="P112" s="10"/>
      <c r="Q112" s="10"/>
      <c r="R112" s="18"/>
      <c r="S112" s="10"/>
      <c r="T112" s="10"/>
      <c r="U112" s="13"/>
      <c r="V112" s="13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3"/>
      <c r="AL112" s="14"/>
      <c r="AM112" s="15"/>
      <c r="AN112" s="15"/>
      <c r="AO112" s="13"/>
      <c r="AP112" s="13"/>
      <c r="AQ112" s="16"/>
      <c r="AR112" s="10"/>
      <c r="AS112" s="10"/>
      <c r="AT112" s="10"/>
      <c r="AU112" s="10"/>
      <c r="AV112" s="11"/>
      <c r="AW112" s="11"/>
      <c r="AX112" s="10"/>
      <c r="AY112" s="11"/>
      <c r="AZ112" s="11"/>
      <c r="BA112" s="11"/>
      <c r="BB112" s="10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7"/>
      <c r="CD112" s="17"/>
      <c r="CE112" s="11"/>
      <c r="CF112" s="13"/>
      <c r="CG112" s="13"/>
      <c r="CH112" s="13"/>
      <c r="CI112" s="13"/>
      <c r="CJ112" s="13"/>
    </row>
    <row r="113" spans="1:88" s="9" customFormat="1" x14ac:dyDescent="0.25">
      <c r="A113" s="10"/>
      <c r="B113" s="10"/>
      <c r="C113" s="10"/>
      <c r="D113" s="10"/>
      <c r="E113" s="11"/>
      <c r="F113" s="10"/>
      <c r="G113" s="10"/>
      <c r="H113" s="10"/>
      <c r="I113" s="10"/>
      <c r="J113" s="10"/>
      <c r="K113" s="12"/>
      <c r="L113" s="10"/>
      <c r="M113" s="10"/>
      <c r="N113" s="13"/>
      <c r="O113" s="10"/>
      <c r="P113" s="10"/>
      <c r="Q113" s="10"/>
      <c r="R113" s="18"/>
      <c r="S113" s="10"/>
      <c r="T113" s="10"/>
      <c r="U113" s="13"/>
      <c r="V113" s="13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3"/>
      <c r="AL113" s="14"/>
      <c r="AM113" s="15"/>
      <c r="AN113" s="15"/>
      <c r="AO113" s="13"/>
      <c r="AP113" s="13"/>
      <c r="AQ113" s="16"/>
      <c r="AR113" s="10"/>
      <c r="AS113" s="10"/>
      <c r="AT113" s="10"/>
      <c r="AU113" s="10"/>
      <c r="AV113" s="11"/>
      <c r="AW113" s="11"/>
      <c r="AX113" s="10"/>
      <c r="AY113" s="11"/>
      <c r="AZ113" s="11"/>
      <c r="BA113" s="11"/>
      <c r="BB113" s="10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7"/>
      <c r="CD113" s="17"/>
      <c r="CE113" s="11"/>
      <c r="CF113" s="13"/>
      <c r="CG113" s="13"/>
      <c r="CH113" s="13"/>
      <c r="CI113" s="13"/>
      <c r="CJ113" s="13"/>
    </row>
    <row r="114" spans="1:88" s="9" customFormat="1" x14ac:dyDescent="0.25">
      <c r="A114" s="10"/>
      <c r="B114" s="10"/>
      <c r="C114" s="10"/>
      <c r="D114" s="10"/>
      <c r="E114" s="11"/>
      <c r="F114" s="10"/>
      <c r="G114" s="10"/>
      <c r="H114" s="10"/>
      <c r="I114" s="10"/>
      <c r="J114" s="10"/>
      <c r="K114" s="12"/>
      <c r="L114" s="10"/>
      <c r="M114" s="10"/>
      <c r="N114" s="13"/>
      <c r="O114" s="10"/>
      <c r="P114" s="10"/>
      <c r="Q114" s="10"/>
      <c r="R114" s="18"/>
      <c r="S114" s="10"/>
      <c r="T114" s="10"/>
      <c r="U114" s="13"/>
      <c r="V114" s="13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3"/>
      <c r="AL114" s="14"/>
      <c r="AM114" s="15"/>
      <c r="AN114" s="15"/>
      <c r="AO114" s="13"/>
      <c r="AP114" s="13"/>
      <c r="AQ114" s="16"/>
      <c r="AR114" s="10"/>
      <c r="AS114" s="10"/>
      <c r="AT114" s="10"/>
      <c r="AU114" s="10"/>
      <c r="AV114" s="11"/>
      <c r="AW114" s="11"/>
      <c r="AX114" s="10"/>
      <c r="AY114" s="11"/>
      <c r="AZ114" s="11"/>
      <c r="BA114" s="11"/>
      <c r="BB114" s="10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7"/>
      <c r="CD114" s="17"/>
      <c r="CE114" s="11"/>
      <c r="CF114" s="13"/>
      <c r="CG114" s="13"/>
      <c r="CH114" s="13"/>
      <c r="CI114" s="13"/>
      <c r="CJ114" s="13"/>
    </row>
    <row r="115" spans="1:88" s="9" customFormat="1" x14ac:dyDescent="0.25">
      <c r="A115" s="10"/>
      <c r="B115" s="10"/>
      <c r="C115" s="10"/>
      <c r="D115" s="10"/>
      <c r="E115" s="11"/>
      <c r="F115" s="10"/>
      <c r="G115" s="10"/>
      <c r="H115" s="10"/>
      <c r="I115" s="10"/>
      <c r="J115" s="10"/>
      <c r="K115" s="12"/>
      <c r="L115" s="10"/>
      <c r="M115" s="10"/>
      <c r="N115" s="13"/>
      <c r="O115" s="10"/>
      <c r="P115" s="10"/>
      <c r="Q115" s="10"/>
      <c r="R115" s="18"/>
      <c r="S115" s="10"/>
      <c r="T115" s="10"/>
      <c r="U115" s="13"/>
      <c r="V115" s="13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3"/>
      <c r="AL115" s="14"/>
      <c r="AM115" s="15"/>
      <c r="AN115" s="15"/>
      <c r="AO115" s="13"/>
      <c r="AP115" s="13"/>
      <c r="AQ115" s="16"/>
      <c r="AR115" s="10"/>
      <c r="AS115" s="10"/>
      <c r="AT115" s="10"/>
      <c r="AU115" s="10"/>
      <c r="AV115" s="11"/>
      <c r="AW115" s="11"/>
      <c r="AX115" s="10"/>
      <c r="AY115" s="11"/>
      <c r="AZ115" s="11"/>
      <c r="BA115" s="11"/>
      <c r="BB115" s="10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7"/>
      <c r="CD115" s="17"/>
      <c r="CE115" s="11"/>
      <c r="CF115" s="13"/>
      <c r="CG115" s="13"/>
      <c r="CH115" s="13"/>
      <c r="CI115" s="13"/>
      <c r="CJ115" s="13"/>
    </row>
    <row r="116" spans="1:88" s="9" customFormat="1" x14ac:dyDescent="0.25">
      <c r="A116" s="10"/>
      <c r="B116" s="10"/>
      <c r="C116" s="10"/>
      <c r="D116" s="10"/>
      <c r="E116" s="11"/>
      <c r="F116" s="10"/>
      <c r="G116" s="10"/>
      <c r="H116" s="10"/>
      <c r="I116" s="10"/>
      <c r="J116" s="10"/>
      <c r="K116" s="12"/>
      <c r="L116" s="10"/>
      <c r="M116" s="10"/>
      <c r="N116" s="13"/>
      <c r="O116" s="10"/>
      <c r="P116" s="10"/>
      <c r="Q116" s="10"/>
      <c r="R116" s="18"/>
      <c r="S116" s="10"/>
      <c r="T116" s="10"/>
      <c r="U116" s="13"/>
      <c r="V116" s="13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3"/>
      <c r="AL116" s="14"/>
      <c r="AM116" s="15"/>
      <c r="AN116" s="15"/>
      <c r="AO116" s="13"/>
      <c r="AP116" s="13"/>
      <c r="AQ116" s="16"/>
      <c r="AR116" s="10"/>
      <c r="AS116" s="10"/>
      <c r="AT116" s="10"/>
      <c r="AU116" s="10"/>
      <c r="AV116" s="11"/>
      <c r="AW116" s="11"/>
      <c r="AX116" s="10"/>
      <c r="AY116" s="11"/>
      <c r="AZ116" s="11"/>
      <c r="BA116" s="11"/>
      <c r="BB116" s="10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7"/>
      <c r="CD116" s="17"/>
      <c r="CE116" s="11"/>
      <c r="CF116" s="13"/>
      <c r="CG116" s="13"/>
      <c r="CH116" s="13"/>
      <c r="CI116" s="13"/>
      <c r="CJ116" s="13"/>
    </row>
    <row r="117" spans="1:88" s="9" customFormat="1" x14ac:dyDescent="0.25">
      <c r="A117" s="10"/>
      <c r="B117" s="10"/>
      <c r="C117" s="10"/>
      <c r="D117" s="10"/>
      <c r="E117" s="11"/>
      <c r="F117" s="10"/>
      <c r="G117" s="10"/>
      <c r="H117" s="10"/>
      <c r="I117" s="10"/>
      <c r="J117" s="10"/>
      <c r="K117" s="12"/>
      <c r="L117" s="10"/>
      <c r="M117" s="10"/>
      <c r="N117" s="13"/>
      <c r="O117" s="10"/>
      <c r="P117" s="10"/>
      <c r="Q117" s="10"/>
      <c r="R117" s="18"/>
      <c r="S117" s="10"/>
      <c r="T117" s="10"/>
      <c r="U117" s="13"/>
      <c r="V117" s="13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3"/>
      <c r="AL117" s="14"/>
      <c r="AM117" s="15"/>
      <c r="AN117" s="15"/>
      <c r="AO117" s="13"/>
      <c r="AP117" s="13"/>
      <c r="AQ117" s="16"/>
      <c r="AR117" s="10"/>
      <c r="AS117" s="10"/>
      <c r="AT117" s="10"/>
      <c r="AU117" s="10"/>
      <c r="AV117" s="11"/>
      <c r="AW117" s="11"/>
      <c r="AX117" s="10"/>
      <c r="AY117" s="11"/>
      <c r="AZ117" s="11"/>
      <c r="BA117" s="11"/>
      <c r="BB117" s="10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7"/>
      <c r="CD117" s="17"/>
      <c r="CE117" s="11"/>
      <c r="CF117" s="13"/>
      <c r="CG117" s="13"/>
      <c r="CH117" s="13"/>
      <c r="CI117" s="13"/>
      <c r="CJ117" s="13"/>
    </row>
    <row r="118" spans="1:88" s="9" customFormat="1" x14ac:dyDescent="0.25">
      <c r="A118" s="10"/>
      <c r="B118" s="10"/>
      <c r="C118" s="10"/>
      <c r="D118" s="10"/>
      <c r="E118" s="11"/>
      <c r="F118" s="10"/>
      <c r="G118" s="10"/>
      <c r="H118" s="10"/>
      <c r="I118" s="10"/>
      <c r="J118" s="10"/>
      <c r="K118" s="12"/>
      <c r="L118" s="10"/>
      <c r="M118" s="10"/>
      <c r="N118" s="13"/>
      <c r="O118" s="10"/>
      <c r="P118" s="10"/>
      <c r="Q118" s="10"/>
      <c r="R118" s="18"/>
      <c r="S118" s="10"/>
      <c r="T118" s="10"/>
      <c r="U118" s="13"/>
      <c r="V118" s="13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3"/>
      <c r="AL118" s="14"/>
      <c r="AM118" s="15"/>
      <c r="AN118" s="15"/>
      <c r="AO118" s="13"/>
      <c r="AP118" s="13"/>
      <c r="AQ118" s="16"/>
      <c r="AR118" s="10"/>
      <c r="AS118" s="10"/>
      <c r="AT118" s="10"/>
      <c r="AU118" s="10"/>
      <c r="AV118" s="11"/>
      <c r="AW118" s="11"/>
      <c r="AX118" s="10"/>
      <c r="AY118" s="11"/>
      <c r="AZ118" s="11"/>
      <c r="BA118" s="11"/>
      <c r="BB118" s="10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7"/>
      <c r="CD118" s="17"/>
      <c r="CE118" s="11"/>
      <c r="CF118" s="13"/>
      <c r="CG118" s="13"/>
      <c r="CH118" s="13"/>
      <c r="CI118" s="13"/>
      <c r="CJ118" s="13"/>
    </row>
    <row r="119" spans="1:88" s="9" customFormat="1" x14ac:dyDescent="0.25">
      <c r="A119" s="10"/>
      <c r="B119" s="10"/>
      <c r="C119" s="10"/>
      <c r="D119" s="10"/>
      <c r="E119" s="11"/>
      <c r="F119" s="10"/>
      <c r="G119" s="10"/>
      <c r="H119" s="10"/>
      <c r="I119" s="10"/>
      <c r="J119" s="10"/>
      <c r="K119" s="12"/>
      <c r="L119" s="10"/>
      <c r="M119" s="10"/>
      <c r="N119" s="13"/>
      <c r="O119" s="10"/>
      <c r="P119" s="10"/>
      <c r="Q119" s="10"/>
      <c r="R119" s="18"/>
      <c r="S119" s="10"/>
      <c r="T119" s="10"/>
      <c r="U119" s="13"/>
      <c r="V119" s="13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3"/>
      <c r="AL119" s="14"/>
      <c r="AM119" s="15"/>
      <c r="AN119" s="15"/>
      <c r="AO119" s="13"/>
      <c r="AP119" s="13"/>
      <c r="AQ119" s="16"/>
      <c r="AR119" s="10"/>
      <c r="AS119" s="10"/>
      <c r="AT119" s="10"/>
      <c r="AU119" s="10"/>
      <c r="AV119" s="11"/>
      <c r="AW119" s="11"/>
      <c r="AX119" s="10"/>
      <c r="AY119" s="11"/>
      <c r="AZ119" s="11"/>
      <c r="BA119" s="11"/>
      <c r="BB119" s="10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7"/>
      <c r="CD119" s="17"/>
      <c r="CE119" s="11"/>
      <c r="CF119" s="13"/>
      <c r="CG119" s="13"/>
      <c r="CH119" s="13"/>
      <c r="CI119" s="13"/>
      <c r="CJ119" s="13"/>
    </row>
    <row r="120" spans="1:88" s="9" customFormat="1" x14ac:dyDescent="0.25">
      <c r="A120" s="10"/>
      <c r="B120" s="10"/>
      <c r="C120" s="10"/>
      <c r="D120" s="10"/>
      <c r="E120" s="11"/>
      <c r="F120" s="10"/>
      <c r="G120" s="10"/>
      <c r="H120" s="10"/>
      <c r="I120" s="10"/>
      <c r="J120" s="10"/>
      <c r="K120" s="12"/>
      <c r="L120" s="10"/>
      <c r="M120" s="10"/>
      <c r="N120" s="13"/>
      <c r="O120" s="10"/>
      <c r="P120" s="10"/>
      <c r="Q120" s="10"/>
      <c r="R120" s="18"/>
      <c r="S120" s="10"/>
      <c r="T120" s="10"/>
      <c r="U120" s="13"/>
      <c r="V120" s="13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3"/>
      <c r="AL120" s="14"/>
      <c r="AM120" s="15"/>
      <c r="AN120" s="15"/>
      <c r="AO120" s="13"/>
      <c r="AP120" s="13"/>
      <c r="AQ120" s="16"/>
      <c r="AR120" s="10"/>
      <c r="AS120" s="10"/>
      <c r="AT120" s="10"/>
      <c r="AU120" s="10"/>
      <c r="AV120" s="11"/>
      <c r="AW120" s="11"/>
      <c r="AX120" s="10"/>
      <c r="AY120" s="11"/>
      <c r="AZ120" s="11"/>
      <c r="BA120" s="11"/>
      <c r="BB120" s="10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7"/>
      <c r="CD120" s="17"/>
      <c r="CE120" s="11"/>
      <c r="CF120" s="13"/>
      <c r="CG120" s="13"/>
      <c r="CH120" s="13"/>
      <c r="CI120" s="13"/>
      <c r="CJ120" s="13"/>
    </row>
    <row r="121" spans="1:88" s="9" customFormat="1" x14ac:dyDescent="0.25">
      <c r="A121" s="10"/>
      <c r="B121" s="10"/>
      <c r="C121" s="10"/>
      <c r="D121" s="10"/>
      <c r="E121" s="11"/>
      <c r="F121" s="10"/>
      <c r="G121" s="10"/>
      <c r="H121" s="10"/>
      <c r="I121" s="10"/>
      <c r="J121" s="10"/>
      <c r="K121" s="12"/>
      <c r="L121" s="10"/>
      <c r="M121" s="10"/>
      <c r="N121" s="13"/>
      <c r="O121" s="10"/>
      <c r="P121" s="10"/>
      <c r="Q121" s="10"/>
      <c r="R121" s="18"/>
      <c r="S121" s="10"/>
      <c r="T121" s="10"/>
      <c r="U121" s="13"/>
      <c r="V121" s="13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3"/>
      <c r="AL121" s="14"/>
      <c r="AM121" s="15"/>
      <c r="AN121" s="15"/>
      <c r="AO121" s="13"/>
      <c r="AP121" s="13"/>
      <c r="AQ121" s="16"/>
      <c r="AR121" s="10"/>
      <c r="AS121" s="10"/>
      <c r="AT121" s="10"/>
      <c r="AU121" s="10"/>
      <c r="AV121" s="11"/>
      <c r="AW121" s="11"/>
      <c r="AX121" s="10"/>
      <c r="AY121" s="11"/>
      <c r="AZ121" s="11"/>
      <c r="BA121" s="11"/>
      <c r="BB121" s="10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7"/>
      <c r="CD121" s="17"/>
      <c r="CE121" s="11"/>
      <c r="CF121" s="13"/>
      <c r="CG121" s="13"/>
      <c r="CH121" s="13"/>
      <c r="CI121" s="13"/>
      <c r="CJ121" s="13"/>
    </row>
    <row r="122" spans="1:88" s="9" customFormat="1" x14ac:dyDescent="0.25">
      <c r="A122" s="10"/>
      <c r="B122" s="10"/>
      <c r="C122" s="10"/>
      <c r="D122" s="10"/>
      <c r="E122" s="11"/>
      <c r="F122" s="10"/>
      <c r="G122" s="10"/>
      <c r="H122" s="10"/>
      <c r="I122" s="10"/>
      <c r="J122" s="10"/>
      <c r="K122" s="12"/>
      <c r="L122" s="10"/>
      <c r="M122" s="10"/>
      <c r="N122" s="13"/>
      <c r="O122" s="10"/>
      <c r="P122" s="10"/>
      <c r="Q122" s="10"/>
      <c r="R122" s="18"/>
      <c r="S122" s="10"/>
      <c r="T122" s="10"/>
      <c r="U122" s="13"/>
      <c r="V122" s="13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3"/>
      <c r="AL122" s="14"/>
      <c r="AM122" s="15"/>
      <c r="AN122" s="15"/>
      <c r="AO122" s="13"/>
      <c r="AP122" s="13"/>
      <c r="AQ122" s="16"/>
      <c r="AR122" s="10"/>
      <c r="AS122" s="10"/>
      <c r="AT122" s="10"/>
      <c r="AU122" s="10"/>
      <c r="AV122" s="11"/>
      <c r="AW122" s="11"/>
      <c r="AX122" s="10"/>
      <c r="AY122" s="11"/>
      <c r="AZ122" s="11"/>
      <c r="BA122" s="11"/>
      <c r="BB122" s="10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7"/>
      <c r="CD122" s="17"/>
      <c r="CE122" s="11"/>
      <c r="CF122" s="13"/>
      <c r="CG122" s="13"/>
      <c r="CH122" s="13"/>
      <c r="CI122" s="13"/>
      <c r="CJ122" s="13"/>
    </row>
    <row r="123" spans="1:88" s="9" customFormat="1" x14ac:dyDescent="0.25">
      <c r="A123" s="10"/>
      <c r="B123" s="10"/>
      <c r="C123" s="10"/>
      <c r="D123" s="10"/>
      <c r="E123" s="11"/>
      <c r="F123" s="10"/>
      <c r="G123" s="10"/>
      <c r="H123" s="10"/>
      <c r="I123" s="10"/>
      <c r="J123" s="10"/>
      <c r="K123" s="12"/>
      <c r="L123" s="10"/>
      <c r="M123" s="10"/>
      <c r="N123" s="13"/>
      <c r="O123" s="10"/>
      <c r="P123" s="10"/>
      <c r="Q123" s="10"/>
      <c r="R123" s="18"/>
      <c r="S123" s="10"/>
      <c r="T123" s="10"/>
      <c r="U123" s="13"/>
      <c r="V123" s="13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3"/>
      <c r="AL123" s="14"/>
      <c r="AM123" s="15"/>
      <c r="AN123" s="15"/>
      <c r="AO123" s="13"/>
      <c r="AP123" s="13"/>
      <c r="AQ123" s="16"/>
      <c r="AR123" s="10"/>
      <c r="AS123" s="10"/>
      <c r="AT123" s="10"/>
      <c r="AU123" s="10"/>
      <c r="AV123" s="11"/>
      <c r="AW123" s="11"/>
      <c r="AX123" s="10"/>
      <c r="AY123" s="11"/>
      <c r="AZ123" s="11"/>
      <c r="BA123" s="11"/>
      <c r="BB123" s="10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7"/>
      <c r="CD123" s="17"/>
      <c r="CE123" s="11"/>
      <c r="CF123" s="13"/>
      <c r="CG123" s="13"/>
      <c r="CH123" s="13"/>
      <c r="CI123" s="13"/>
      <c r="CJ123" s="13"/>
    </row>
    <row r="124" spans="1:88" s="9" customFormat="1" x14ac:dyDescent="0.25">
      <c r="A124" s="10"/>
      <c r="B124" s="10"/>
      <c r="C124" s="10"/>
      <c r="D124" s="10"/>
      <c r="E124" s="11"/>
      <c r="F124" s="10"/>
      <c r="G124" s="10"/>
      <c r="H124" s="10"/>
      <c r="I124" s="10"/>
      <c r="J124" s="10"/>
      <c r="K124" s="12"/>
      <c r="L124" s="10"/>
      <c r="M124" s="10"/>
      <c r="N124" s="13"/>
      <c r="O124" s="10"/>
      <c r="P124" s="10"/>
      <c r="Q124" s="10"/>
      <c r="R124" s="18"/>
      <c r="S124" s="10"/>
      <c r="T124" s="10"/>
      <c r="U124" s="13"/>
      <c r="V124" s="13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3"/>
      <c r="AL124" s="14"/>
      <c r="AM124" s="15"/>
      <c r="AN124" s="15"/>
      <c r="AO124" s="13"/>
      <c r="AP124" s="13"/>
      <c r="AQ124" s="16"/>
      <c r="AR124" s="10"/>
      <c r="AS124" s="10"/>
      <c r="AT124" s="10"/>
      <c r="AU124" s="10"/>
      <c r="AV124" s="11"/>
      <c r="AW124" s="11"/>
      <c r="AX124" s="10"/>
      <c r="AY124" s="11"/>
      <c r="AZ124" s="11"/>
      <c r="BA124" s="11"/>
      <c r="BB124" s="10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7"/>
      <c r="CD124" s="17"/>
      <c r="CE124" s="11"/>
      <c r="CF124" s="13"/>
      <c r="CG124" s="13"/>
      <c r="CH124" s="13"/>
      <c r="CI124" s="13"/>
      <c r="CJ124" s="13"/>
    </row>
    <row r="125" spans="1:88" s="9" customFormat="1" x14ac:dyDescent="0.25">
      <c r="A125" s="10"/>
      <c r="B125" s="10"/>
      <c r="C125" s="10"/>
      <c r="D125" s="10"/>
      <c r="E125" s="11"/>
      <c r="F125" s="10"/>
      <c r="G125" s="10"/>
      <c r="H125" s="10"/>
      <c r="I125" s="10"/>
      <c r="J125" s="10"/>
      <c r="K125" s="12"/>
      <c r="L125" s="10"/>
      <c r="M125" s="10"/>
      <c r="N125" s="13"/>
      <c r="O125" s="10"/>
      <c r="P125" s="10"/>
      <c r="Q125" s="10"/>
      <c r="R125" s="18"/>
      <c r="S125" s="10"/>
      <c r="T125" s="10"/>
      <c r="U125" s="13"/>
      <c r="V125" s="13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3"/>
      <c r="AL125" s="14"/>
      <c r="AM125" s="15"/>
      <c r="AN125" s="15"/>
      <c r="AO125" s="13"/>
      <c r="AP125" s="13"/>
      <c r="AQ125" s="16"/>
      <c r="AR125" s="10"/>
      <c r="AS125" s="10"/>
      <c r="AT125" s="10"/>
      <c r="AU125" s="10"/>
      <c r="AV125" s="11"/>
      <c r="AW125" s="11"/>
      <c r="AX125" s="10"/>
      <c r="AY125" s="11"/>
      <c r="AZ125" s="11"/>
      <c r="BA125" s="11"/>
      <c r="BB125" s="10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7"/>
      <c r="CD125" s="17"/>
      <c r="CE125" s="11"/>
      <c r="CF125" s="13"/>
      <c r="CG125" s="13"/>
      <c r="CH125" s="13"/>
      <c r="CI125" s="13"/>
      <c r="CJ125" s="13"/>
    </row>
    <row r="126" spans="1:88" s="9" customFormat="1" x14ac:dyDescent="0.25">
      <c r="A126" s="10"/>
      <c r="B126" s="10"/>
      <c r="C126" s="10"/>
      <c r="D126" s="10"/>
      <c r="E126" s="11"/>
      <c r="F126" s="10"/>
      <c r="G126" s="10"/>
      <c r="H126" s="10"/>
      <c r="I126" s="10"/>
      <c r="J126" s="10"/>
      <c r="K126" s="12"/>
      <c r="L126" s="10"/>
      <c r="M126" s="10"/>
      <c r="N126" s="13"/>
      <c r="O126" s="10"/>
      <c r="P126" s="10"/>
      <c r="Q126" s="10"/>
      <c r="R126" s="18"/>
      <c r="S126" s="10"/>
      <c r="T126" s="10"/>
      <c r="U126" s="13"/>
      <c r="V126" s="13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3"/>
      <c r="AL126" s="14"/>
      <c r="AM126" s="15"/>
      <c r="AN126" s="15"/>
      <c r="AO126" s="13"/>
      <c r="AP126" s="13"/>
      <c r="AQ126" s="16"/>
      <c r="AR126" s="10"/>
      <c r="AS126" s="10"/>
      <c r="AT126" s="10"/>
      <c r="AU126" s="10"/>
      <c r="AV126" s="11"/>
      <c r="AW126" s="11"/>
      <c r="AX126" s="10"/>
      <c r="AY126" s="11"/>
      <c r="AZ126" s="11"/>
      <c r="BA126" s="11"/>
      <c r="BB126" s="10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7"/>
      <c r="CD126" s="17"/>
      <c r="CE126" s="11"/>
      <c r="CF126" s="13"/>
      <c r="CG126" s="13"/>
      <c r="CH126" s="13"/>
      <c r="CI126" s="13"/>
      <c r="CJ126" s="13"/>
    </row>
    <row r="127" spans="1:88" s="9" customFormat="1" x14ac:dyDescent="0.25">
      <c r="A127" s="10"/>
      <c r="B127" s="10"/>
      <c r="C127" s="10"/>
      <c r="D127" s="10"/>
      <c r="E127" s="11"/>
      <c r="F127" s="10"/>
      <c r="G127" s="10"/>
      <c r="H127" s="10"/>
      <c r="I127" s="10"/>
      <c r="J127" s="10"/>
      <c r="K127" s="12"/>
      <c r="L127" s="10"/>
      <c r="M127" s="10"/>
      <c r="N127" s="13"/>
      <c r="O127" s="10"/>
      <c r="P127" s="10"/>
      <c r="Q127" s="10"/>
      <c r="R127" s="18"/>
      <c r="S127" s="10"/>
      <c r="T127" s="10"/>
      <c r="U127" s="13"/>
      <c r="V127" s="13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3"/>
      <c r="AL127" s="14"/>
      <c r="AM127" s="15"/>
      <c r="AN127" s="15"/>
      <c r="AO127" s="13"/>
      <c r="AP127" s="13"/>
      <c r="AQ127" s="16"/>
      <c r="AR127" s="10"/>
      <c r="AS127" s="10"/>
      <c r="AT127" s="10"/>
      <c r="AU127" s="10"/>
      <c r="AV127" s="11"/>
      <c r="AW127" s="11"/>
      <c r="AX127" s="10"/>
      <c r="AY127" s="11"/>
      <c r="AZ127" s="11"/>
      <c r="BA127" s="11"/>
      <c r="BB127" s="10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7"/>
      <c r="CD127" s="17"/>
      <c r="CE127" s="11"/>
      <c r="CF127" s="13"/>
      <c r="CG127" s="13"/>
      <c r="CH127" s="13"/>
      <c r="CI127" s="13"/>
      <c r="CJ127" s="13"/>
    </row>
    <row r="128" spans="1:88" s="9" customFormat="1" x14ac:dyDescent="0.25">
      <c r="A128" s="10"/>
      <c r="B128" s="10"/>
      <c r="C128" s="10"/>
      <c r="D128" s="10"/>
      <c r="E128" s="11"/>
      <c r="F128" s="10"/>
      <c r="G128" s="10"/>
      <c r="H128" s="10"/>
      <c r="I128" s="10"/>
      <c r="J128" s="10"/>
      <c r="K128" s="12"/>
      <c r="L128" s="10"/>
      <c r="M128" s="10"/>
      <c r="N128" s="13"/>
      <c r="O128" s="10"/>
      <c r="P128" s="10"/>
      <c r="Q128" s="10"/>
      <c r="R128" s="18"/>
      <c r="S128" s="10"/>
      <c r="T128" s="10"/>
      <c r="U128" s="13"/>
      <c r="V128" s="13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3"/>
      <c r="AL128" s="14"/>
      <c r="AM128" s="15"/>
      <c r="AN128" s="15"/>
      <c r="AO128" s="13"/>
      <c r="AP128" s="13"/>
      <c r="AQ128" s="16"/>
      <c r="AR128" s="10"/>
      <c r="AS128" s="10"/>
      <c r="AT128" s="10"/>
      <c r="AU128" s="10"/>
      <c r="AV128" s="11"/>
      <c r="AW128" s="11"/>
      <c r="AX128" s="10"/>
      <c r="AY128" s="11"/>
      <c r="AZ128" s="11"/>
      <c r="BA128" s="11"/>
      <c r="BB128" s="10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7"/>
      <c r="CD128" s="17"/>
      <c r="CE128" s="11"/>
      <c r="CF128" s="13"/>
      <c r="CG128" s="13"/>
      <c r="CH128" s="13"/>
      <c r="CI128" s="13"/>
      <c r="CJ128" s="13"/>
    </row>
    <row r="129" spans="1:88" s="9" customFormat="1" x14ac:dyDescent="0.25">
      <c r="A129" s="10"/>
      <c r="B129" s="10"/>
      <c r="C129" s="10"/>
      <c r="D129" s="10"/>
      <c r="E129" s="11"/>
      <c r="F129" s="10"/>
      <c r="G129" s="10"/>
      <c r="H129" s="10"/>
      <c r="I129" s="10"/>
      <c r="J129" s="10"/>
      <c r="K129" s="12"/>
      <c r="L129" s="10"/>
      <c r="M129" s="10"/>
      <c r="N129" s="13"/>
      <c r="O129" s="10"/>
      <c r="P129" s="10"/>
      <c r="Q129" s="10"/>
      <c r="R129" s="18"/>
      <c r="S129" s="10"/>
      <c r="T129" s="10"/>
      <c r="U129" s="13"/>
      <c r="V129" s="13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3"/>
      <c r="AL129" s="14"/>
      <c r="AM129" s="15"/>
      <c r="AN129" s="15"/>
      <c r="AO129" s="13"/>
      <c r="AP129" s="13"/>
      <c r="AQ129" s="16"/>
      <c r="AR129" s="10"/>
      <c r="AS129" s="10"/>
      <c r="AT129" s="10"/>
      <c r="AU129" s="10"/>
      <c r="AV129" s="11"/>
      <c r="AW129" s="11"/>
      <c r="AX129" s="10"/>
      <c r="AY129" s="11"/>
      <c r="AZ129" s="11"/>
      <c r="BA129" s="11"/>
      <c r="BB129" s="10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7"/>
      <c r="CD129" s="17"/>
      <c r="CE129" s="11"/>
      <c r="CF129" s="13"/>
      <c r="CG129" s="13"/>
      <c r="CH129" s="13"/>
      <c r="CI129" s="13"/>
      <c r="CJ129" s="13"/>
    </row>
    <row r="130" spans="1:88" s="9" customFormat="1" x14ac:dyDescent="0.25">
      <c r="A130" s="10"/>
      <c r="B130" s="10"/>
      <c r="C130" s="10"/>
      <c r="D130" s="10"/>
      <c r="E130" s="11"/>
      <c r="F130" s="10"/>
      <c r="G130" s="10"/>
      <c r="H130" s="10"/>
      <c r="I130" s="10"/>
      <c r="J130" s="10"/>
      <c r="K130" s="12"/>
      <c r="L130" s="10"/>
      <c r="M130" s="10"/>
      <c r="N130" s="13"/>
      <c r="O130" s="10"/>
      <c r="P130" s="10"/>
      <c r="Q130" s="10"/>
      <c r="R130" s="18"/>
      <c r="S130" s="10"/>
      <c r="T130" s="10"/>
      <c r="U130" s="13"/>
      <c r="V130" s="13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3"/>
      <c r="AL130" s="14"/>
      <c r="AM130" s="15"/>
      <c r="AN130" s="15"/>
      <c r="AO130" s="13"/>
      <c r="AP130" s="13"/>
      <c r="AQ130" s="16"/>
      <c r="AR130" s="10"/>
      <c r="AS130" s="10"/>
      <c r="AT130" s="10"/>
      <c r="AU130" s="10"/>
      <c r="AV130" s="11"/>
      <c r="AW130" s="11"/>
      <c r="AX130" s="10"/>
      <c r="AY130" s="11"/>
      <c r="AZ130" s="11"/>
      <c r="BA130" s="11"/>
      <c r="BB130" s="10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7"/>
      <c r="CD130" s="17"/>
      <c r="CE130" s="11"/>
      <c r="CF130" s="13"/>
      <c r="CG130" s="13"/>
      <c r="CH130" s="13"/>
      <c r="CI130" s="13"/>
      <c r="CJ130" s="13"/>
    </row>
    <row r="131" spans="1:88" s="9" customFormat="1" x14ac:dyDescent="0.25">
      <c r="A131" s="10"/>
      <c r="B131" s="10"/>
      <c r="C131" s="10"/>
      <c r="D131" s="10"/>
      <c r="E131" s="11"/>
      <c r="F131" s="10"/>
      <c r="G131" s="10"/>
      <c r="H131" s="10"/>
      <c r="I131" s="10"/>
      <c r="J131" s="10"/>
      <c r="K131" s="12"/>
      <c r="L131" s="10"/>
      <c r="M131" s="10"/>
      <c r="N131" s="13"/>
      <c r="O131" s="10"/>
      <c r="P131" s="10"/>
      <c r="Q131" s="10"/>
      <c r="R131" s="18"/>
      <c r="S131" s="10"/>
      <c r="T131" s="10"/>
      <c r="U131" s="13"/>
      <c r="V131" s="13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3"/>
      <c r="AL131" s="14"/>
      <c r="AM131" s="15"/>
      <c r="AN131" s="15"/>
      <c r="AO131" s="13"/>
      <c r="AP131" s="13"/>
      <c r="AQ131" s="16"/>
      <c r="AR131" s="10"/>
      <c r="AS131" s="10"/>
      <c r="AT131" s="10"/>
      <c r="AU131" s="10"/>
      <c r="AV131" s="11"/>
      <c r="AW131" s="11"/>
      <c r="AX131" s="10"/>
      <c r="AY131" s="11"/>
      <c r="AZ131" s="11"/>
      <c r="BA131" s="11"/>
      <c r="BB131" s="10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7"/>
      <c r="CD131" s="17"/>
      <c r="CE131" s="11"/>
      <c r="CF131" s="13"/>
      <c r="CG131" s="13"/>
      <c r="CH131" s="13"/>
      <c r="CI131" s="13"/>
      <c r="CJ131" s="13"/>
    </row>
    <row r="132" spans="1:88" s="9" customFormat="1" x14ac:dyDescent="0.25">
      <c r="A132" s="10"/>
      <c r="B132" s="10"/>
      <c r="C132" s="10"/>
      <c r="D132" s="10"/>
      <c r="E132" s="11"/>
      <c r="F132" s="10"/>
      <c r="G132" s="10"/>
      <c r="H132" s="10"/>
      <c r="I132" s="10"/>
      <c r="J132" s="10"/>
      <c r="K132" s="12"/>
      <c r="L132" s="10"/>
      <c r="M132" s="10"/>
      <c r="N132" s="13"/>
      <c r="O132" s="10"/>
      <c r="P132" s="10"/>
      <c r="Q132" s="10"/>
      <c r="R132" s="18"/>
      <c r="S132" s="10"/>
      <c r="T132" s="10"/>
      <c r="U132" s="13"/>
      <c r="V132" s="13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3"/>
      <c r="AL132" s="14"/>
      <c r="AM132" s="15"/>
      <c r="AN132" s="15"/>
      <c r="AO132" s="13"/>
      <c r="AP132" s="13"/>
      <c r="AQ132" s="16"/>
      <c r="AR132" s="10"/>
      <c r="AS132" s="10"/>
      <c r="AT132" s="10"/>
      <c r="AU132" s="10"/>
      <c r="AV132" s="11"/>
      <c r="AW132" s="11"/>
      <c r="AX132" s="10"/>
      <c r="AY132" s="11"/>
      <c r="AZ132" s="11"/>
      <c r="BA132" s="11"/>
      <c r="BB132" s="10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7"/>
      <c r="CD132" s="17"/>
      <c r="CE132" s="11"/>
      <c r="CF132" s="13"/>
      <c r="CG132" s="13"/>
      <c r="CH132" s="13"/>
      <c r="CI132" s="13"/>
      <c r="CJ132" s="13"/>
    </row>
    <row r="133" spans="1:88" s="9" customFormat="1" x14ac:dyDescent="0.25">
      <c r="A133" s="10"/>
      <c r="B133" s="10"/>
      <c r="C133" s="10"/>
      <c r="D133" s="10"/>
      <c r="E133" s="11"/>
      <c r="F133" s="10"/>
      <c r="G133" s="10"/>
      <c r="H133" s="10"/>
      <c r="I133" s="10"/>
      <c r="J133" s="10"/>
      <c r="K133" s="12"/>
      <c r="L133" s="10"/>
      <c r="M133" s="10"/>
      <c r="N133" s="13"/>
      <c r="O133" s="10"/>
      <c r="P133" s="10"/>
      <c r="Q133" s="10"/>
      <c r="R133" s="18"/>
      <c r="S133" s="10"/>
      <c r="T133" s="10"/>
      <c r="U133" s="13"/>
      <c r="V133" s="13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3"/>
      <c r="AL133" s="14"/>
      <c r="AM133" s="15"/>
      <c r="AN133" s="15"/>
      <c r="AO133" s="13"/>
      <c r="AP133" s="13"/>
      <c r="AQ133" s="16"/>
      <c r="AR133" s="10"/>
      <c r="AS133" s="10"/>
      <c r="AT133" s="10"/>
      <c r="AU133" s="10"/>
      <c r="AV133" s="11"/>
      <c r="AW133" s="11"/>
      <c r="AX133" s="10"/>
      <c r="AY133" s="11"/>
      <c r="AZ133" s="11"/>
      <c r="BA133" s="11"/>
      <c r="BB133" s="10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7"/>
      <c r="CD133" s="17"/>
      <c r="CE133" s="11"/>
      <c r="CF133" s="13"/>
      <c r="CG133" s="13"/>
      <c r="CH133" s="13"/>
      <c r="CI133" s="13"/>
      <c r="CJ133" s="13"/>
    </row>
    <row r="134" spans="1:88" s="9" customFormat="1" x14ac:dyDescent="0.25">
      <c r="A134" s="10"/>
      <c r="B134" s="10"/>
      <c r="C134" s="10"/>
      <c r="D134" s="10"/>
      <c r="E134" s="11"/>
      <c r="F134" s="10"/>
      <c r="G134" s="10"/>
      <c r="H134" s="10"/>
      <c r="I134" s="10"/>
      <c r="J134" s="10"/>
      <c r="K134" s="12"/>
      <c r="L134" s="10"/>
      <c r="M134" s="10"/>
      <c r="N134" s="13"/>
      <c r="O134" s="10"/>
      <c r="P134" s="10"/>
      <c r="Q134" s="10"/>
      <c r="R134" s="18"/>
      <c r="S134" s="10"/>
      <c r="T134" s="10"/>
      <c r="U134" s="13"/>
      <c r="V134" s="13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3"/>
      <c r="AL134" s="14"/>
      <c r="AM134" s="15"/>
      <c r="AN134" s="15"/>
      <c r="AO134" s="13"/>
      <c r="AP134" s="13"/>
      <c r="AQ134" s="16"/>
      <c r="AR134" s="10"/>
      <c r="AS134" s="10"/>
      <c r="AT134" s="10"/>
      <c r="AU134" s="10"/>
      <c r="AV134" s="11"/>
      <c r="AW134" s="11"/>
      <c r="AX134" s="10"/>
      <c r="AY134" s="11"/>
      <c r="AZ134" s="11"/>
      <c r="BA134" s="11"/>
      <c r="BB134" s="10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7"/>
      <c r="CD134" s="17"/>
      <c r="CE134" s="11"/>
      <c r="CF134" s="13"/>
      <c r="CG134" s="13"/>
      <c r="CH134" s="13"/>
      <c r="CI134" s="13"/>
      <c r="CJ134" s="13"/>
    </row>
    <row r="135" spans="1:88" s="9" customFormat="1" x14ac:dyDescent="0.25">
      <c r="A135" s="10"/>
      <c r="B135" s="10"/>
      <c r="C135" s="10"/>
      <c r="D135" s="10"/>
      <c r="E135" s="11"/>
      <c r="F135" s="10"/>
      <c r="G135" s="10"/>
      <c r="H135" s="10"/>
      <c r="I135" s="10"/>
      <c r="J135" s="10"/>
      <c r="K135" s="12"/>
      <c r="L135" s="10"/>
      <c r="M135" s="10"/>
      <c r="N135" s="13"/>
      <c r="O135" s="10"/>
      <c r="P135" s="10"/>
      <c r="Q135" s="10"/>
      <c r="R135" s="18"/>
      <c r="S135" s="10"/>
      <c r="T135" s="10"/>
      <c r="U135" s="13"/>
      <c r="V135" s="13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3"/>
      <c r="AL135" s="14"/>
      <c r="AM135" s="15"/>
      <c r="AN135" s="15"/>
      <c r="AO135" s="13"/>
      <c r="AP135" s="13"/>
      <c r="AQ135" s="16"/>
      <c r="AR135" s="10"/>
      <c r="AS135" s="10"/>
      <c r="AT135" s="10"/>
      <c r="AU135" s="10"/>
      <c r="AV135" s="11"/>
      <c r="AW135" s="11"/>
      <c r="AX135" s="10"/>
      <c r="AY135" s="11"/>
      <c r="AZ135" s="11"/>
      <c r="BA135" s="11"/>
      <c r="BB135" s="10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7"/>
      <c r="CD135" s="17"/>
      <c r="CE135" s="11"/>
      <c r="CF135" s="13"/>
      <c r="CG135" s="13"/>
      <c r="CH135" s="13"/>
      <c r="CI135" s="13"/>
      <c r="CJ135" s="13"/>
    </row>
    <row r="136" spans="1:88" s="9" customFormat="1" x14ac:dyDescent="0.25">
      <c r="A136" s="10"/>
      <c r="B136" s="10"/>
      <c r="C136" s="10"/>
      <c r="D136" s="10"/>
      <c r="E136" s="11"/>
      <c r="F136" s="10"/>
      <c r="G136" s="10"/>
      <c r="H136" s="10"/>
      <c r="I136" s="10"/>
      <c r="J136" s="10"/>
      <c r="K136" s="12"/>
      <c r="L136" s="10"/>
      <c r="M136" s="10"/>
      <c r="N136" s="13"/>
      <c r="O136" s="10"/>
      <c r="P136" s="10"/>
      <c r="Q136" s="10"/>
      <c r="R136" s="18"/>
      <c r="S136" s="10"/>
      <c r="T136" s="10"/>
      <c r="U136" s="13"/>
      <c r="V136" s="13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3"/>
      <c r="AL136" s="14"/>
      <c r="AM136" s="15"/>
      <c r="AN136" s="15"/>
      <c r="AO136" s="13"/>
      <c r="AP136" s="13"/>
      <c r="AQ136" s="16"/>
      <c r="AR136" s="10"/>
      <c r="AS136" s="10"/>
      <c r="AT136" s="10"/>
      <c r="AU136" s="10"/>
      <c r="AV136" s="11"/>
      <c r="AW136" s="11"/>
      <c r="AX136" s="10"/>
      <c r="AY136" s="11"/>
      <c r="AZ136" s="11"/>
      <c r="BA136" s="11"/>
      <c r="BB136" s="10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7"/>
      <c r="CD136" s="17"/>
      <c r="CE136" s="11"/>
      <c r="CF136" s="13"/>
      <c r="CG136" s="13"/>
      <c r="CH136" s="13"/>
      <c r="CI136" s="13"/>
      <c r="CJ136" s="13"/>
    </row>
    <row r="137" spans="1:88" s="9" customFormat="1" x14ac:dyDescent="0.25">
      <c r="A137" s="10"/>
      <c r="B137" s="10"/>
      <c r="C137" s="10"/>
      <c r="D137" s="10"/>
      <c r="E137" s="11"/>
      <c r="F137" s="10"/>
      <c r="G137" s="10"/>
      <c r="H137" s="10"/>
      <c r="I137" s="10"/>
      <c r="J137" s="10"/>
      <c r="K137" s="12"/>
      <c r="L137" s="10"/>
      <c r="M137" s="10"/>
      <c r="N137" s="13"/>
      <c r="O137" s="10"/>
      <c r="P137" s="10"/>
      <c r="Q137" s="10"/>
      <c r="R137" s="18"/>
      <c r="S137" s="10"/>
      <c r="T137" s="10"/>
      <c r="U137" s="13"/>
      <c r="V137" s="13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3"/>
      <c r="AL137" s="14"/>
      <c r="AM137" s="15"/>
      <c r="AN137" s="15"/>
      <c r="AO137" s="13"/>
      <c r="AP137" s="13"/>
      <c r="AQ137" s="16"/>
      <c r="AR137" s="10"/>
      <c r="AS137" s="10"/>
      <c r="AT137" s="10"/>
      <c r="AU137" s="10"/>
      <c r="AV137" s="11"/>
      <c r="AW137" s="11"/>
      <c r="AX137" s="10"/>
      <c r="AY137" s="11"/>
      <c r="AZ137" s="11"/>
      <c r="BA137" s="11"/>
      <c r="BB137" s="10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7"/>
      <c r="CD137" s="17"/>
      <c r="CE137" s="11"/>
      <c r="CF137" s="13"/>
      <c r="CG137" s="13"/>
      <c r="CH137" s="13"/>
      <c r="CI137" s="13"/>
      <c r="CJ137" s="13"/>
    </row>
    <row r="138" spans="1:88" s="9" customFormat="1" x14ac:dyDescent="0.25">
      <c r="A138" s="10"/>
      <c r="B138" s="10"/>
      <c r="C138" s="10"/>
      <c r="D138" s="10"/>
      <c r="E138" s="11"/>
      <c r="F138" s="10"/>
      <c r="G138" s="10"/>
      <c r="H138" s="10"/>
      <c r="I138" s="10"/>
      <c r="J138" s="10"/>
      <c r="K138" s="12"/>
      <c r="L138" s="10"/>
      <c r="M138" s="10"/>
      <c r="N138" s="13"/>
      <c r="O138" s="10"/>
      <c r="P138" s="10"/>
      <c r="Q138" s="10"/>
      <c r="R138" s="18"/>
      <c r="S138" s="10"/>
      <c r="T138" s="10"/>
      <c r="U138" s="13"/>
      <c r="V138" s="13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3"/>
      <c r="AL138" s="14"/>
      <c r="AM138" s="15"/>
      <c r="AN138" s="15"/>
      <c r="AO138" s="13"/>
      <c r="AP138" s="13"/>
      <c r="AQ138" s="16"/>
      <c r="AR138" s="10"/>
      <c r="AS138" s="10"/>
      <c r="AT138" s="10"/>
      <c r="AU138" s="10"/>
      <c r="AV138" s="11"/>
      <c r="AW138" s="11"/>
      <c r="AX138" s="10"/>
      <c r="AY138" s="11"/>
      <c r="AZ138" s="11"/>
      <c r="BA138" s="11"/>
      <c r="BB138" s="10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7"/>
      <c r="CD138" s="17"/>
      <c r="CE138" s="11"/>
      <c r="CF138" s="13"/>
      <c r="CG138" s="13"/>
      <c r="CH138" s="13"/>
      <c r="CI138" s="13"/>
      <c r="CJ138" s="13"/>
    </row>
    <row r="139" spans="1:88" s="9" customFormat="1" x14ac:dyDescent="0.25">
      <c r="A139" s="10"/>
      <c r="B139" s="10"/>
      <c r="C139" s="10"/>
      <c r="D139" s="10"/>
      <c r="E139" s="11"/>
      <c r="F139" s="10"/>
      <c r="G139" s="10"/>
      <c r="H139" s="10"/>
      <c r="I139" s="10"/>
      <c r="J139" s="10"/>
      <c r="K139" s="12"/>
      <c r="L139" s="10"/>
      <c r="M139" s="10"/>
      <c r="N139" s="13"/>
      <c r="O139" s="10"/>
      <c r="P139" s="10"/>
      <c r="Q139" s="10"/>
      <c r="R139" s="18"/>
      <c r="S139" s="10"/>
      <c r="T139" s="10"/>
      <c r="U139" s="13"/>
      <c r="V139" s="13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3"/>
      <c r="AL139" s="14"/>
      <c r="AM139" s="15"/>
      <c r="AN139" s="15"/>
      <c r="AO139" s="13"/>
      <c r="AP139" s="13"/>
      <c r="AQ139" s="16"/>
      <c r="AR139" s="10"/>
      <c r="AS139" s="10"/>
      <c r="AT139" s="10"/>
      <c r="AU139" s="10"/>
      <c r="AV139" s="11"/>
      <c r="AW139" s="11"/>
      <c r="AX139" s="10"/>
      <c r="AY139" s="11"/>
      <c r="AZ139" s="11"/>
      <c r="BA139" s="11"/>
      <c r="BB139" s="10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7"/>
      <c r="CD139" s="17"/>
      <c r="CE139" s="11"/>
      <c r="CF139" s="13"/>
      <c r="CG139" s="13"/>
      <c r="CH139" s="13"/>
      <c r="CI139" s="13"/>
      <c r="CJ139" s="13"/>
    </row>
    <row r="140" spans="1:88" s="9" customFormat="1" x14ac:dyDescent="0.25">
      <c r="A140" s="10"/>
      <c r="B140" s="10"/>
      <c r="C140" s="10"/>
      <c r="D140" s="10"/>
      <c r="E140" s="11"/>
      <c r="F140" s="10"/>
      <c r="G140" s="10"/>
      <c r="H140" s="10"/>
      <c r="I140" s="10"/>
      <c r="J140" s="10"/>
      <c r="K140" s="12"/>
      <c r="L140" s="10"/>
      <c r="M140" s="10"/>
      <c r="N140" s="13"/>
      <c r="O140" s="10"/>
      <c r="P140" s="10"/>
      <c r="Q140" s="10"/>
      <c r="R140" s="18"/>
      <c r="S140" s="10"/>
      <c r="T140" s="10"/>
      <c r="U140" s="13"/>
      <c r="V140" s="13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3"/>
      <c r="AL140" s="14"/>
      <c r="AM140" s="15"/>
      <c r="AN140" s="15"/>
      <c r="AO140" s="13"/>
      <c r="AP140" s="13"/>
      <c r="AQ140" s="16"/>
      <c r="AR140" s="10"/>
      <c r="AS140" s="10"/>
      <c r="AT140" s="10"/>
      <c r="AU140" s="10"/>
      <c r="AV140" s="11"/>
      <c r="AW140" s="11"/>
      <c r="AX140" s="10"/>
      <c r="AY140" s="11"/>
      <c r="AZ140" s="11"/>
      <c r="BA140" s="11"/>
      <c r="BB140" s="10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7"/>
      <c r="CD140" s="17"/>
      <c r="CE140" s="11"/>
      <c r="CF140" s="13"/>
      <c r="CG140" s="13"/>
      <c r="CH140" s="13"/>
      <c r="CI140" s="13"/>
      <c r="CJ140" s="13"/>
    </row>
    <row r="141" spans="1:88" s="9" customFormat="1" x14ac:dyDescent="0.25">
      <c r="A141" s="10"/>
      <c r="B141" s="10"/>
      <c r="C141" s="10"/>
      <c r="D141" s="10"/>
      <c r="E141" s="11"/>
      <c r="F141" s="10"/>
      <c r="G141" s="10"/>
      <c r="H141" s="10"/>
      <c r="I141" s="10"/>
      <c r="J141" s="10"/>
      <c r="K141" s="12"/>
      <c r="L141" s="10"/>
      <c r="M141" s="10"/>
      <c r="N141" s="13"/>
      <c r="O141" s="10"/>
      <c r="P141" s="10"/>
      <c r="Q141" s="10"/>
      <c r="R141" s="18"/>
      <c r="S141" s="10"/>
      <c r="T141" s="10"/>
      <c r="U141" s="13"/>
      <c r="V141" s="13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3"/>
      <c r="AL141" s="14"/>
      <c r="AM141" s="15"/>
      <c r="AN141" s="15"/>
      <c r="AO141" s="13"/>
      <c r="AP141" s="13"/>
      <c r="AQ141" s="16"/>
      <c r="AR141" s="10"/>
      <c r="AS141" s="10"/>
      <c r="AT141" s="10"/>
      <c r="AU141" s="10"/>
      <c r="AV141" s="11"/>
      <c r="AW141" s="11"/>
      <c r="AX141" s="10"/>
      <c r="AY141" s="11"/>
      <c r="AZ141" s="11"/>
      <c r="BA141" s="11"/>
      <c r="BB141" s="10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7"/>
      <c r="CD141" s="17"/>
      <c r="CE141" s="11"/>
      <c r="CF141" s="13"/>
      <c r="CG141" s="13"/>
      <c r="CH141" s="13"/>
      <c r="CI141" s="13"/>
      <c r="CJ141" s="13"/>
    </row>
    <row r="142" spans="1:88" s="9" customFormat="1" x14ac:dyDescent="0.25">
      <c r="A142" s="10"/>
      <c r="B142" s="10"/>
      <c r="C142" s="10"/>
      <c r="D142" s="10"/>
      <c r="E142" s="11"/>
      <c r="F142" s="10"/>
      <c r="G142" s="10"/>
      <c r="H142" s="10"/>
      <c r="I142" s="10"/>
      <c r="J142" s="10"/>
      <c r="K142" s="12"/>
      <c r="L142" s="10"/>
      <c r="M142" s="10"/>
      <c r="N142" s="13"/>
      <c r="O142" s="10"/>
      <c r="P142" s="10"/>
      <c r="Q142" s="10"/>
      <c r="R142" s="18"/>
      <c r="S142" s="10"/>
      <c r="T142" s="10"/>
      <c r="U142" s="13"/>
      <c r="V142" s="13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3"/>
      <c r="AL142" s="14"/>
      <c r="AM142" s="15"/>
      <c r="AN142" s="15"/>
      <c r="AO142" s="13"/>
      <c r="AP142" s="13"/>
      <c r="AQ142" s="16"/>
      <c r="AR142" s="10"/>
      <c r="AS142" s="10"/>
      <c r="AT142" s="10"/>
      <c r="AU142" s="10"/>
      <c r="AV142" s="11"/>
      <c r="AW142" s="11"/>
      <c r="AX142" s="10"/>
      <c r="AY142" s="11"/>
      <c r="AZ142" s="11"/>
      <c r="BA142" s="11"/>
      <c r="BB142" s="10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7"/>
      <c r="CD142" s="17"/>
      <c r="CE142" s="11"/>
      <c r="CF142" s="13"/>
      <c r="CG142" s="13"/>
      <c r="CH142" s="13"/>
      <c r="CI142" s="13"/>
      <c r="CJ142" s="13"/>
    </row>
    <row r="143" spans="1:88" s="9" customFormat="1" x14ac:dyDescent="0.25">
      <c r="A143" s="10"/>
      <c r="B143" s="10"/>
      <c r="C143" s="10"/>
      <c r="D143" s="10"/>
      <c r="E143" s="11"/>
      <c r="F143" s="10"/>
      <c r="G143" s="10"/>
      <c r="H143" s="10"/>
      <c r="I143" s="10"/>
      <c r="J143" s="10"/>
      <c r="K143" s="12"/>
      <c r="L143" s="10"/>
      <c r="M143" s="10"/>
      <c r="N143" s="13"/>
      <c r="O143" s="10"/>
      <c r="P143" s="10"/>
      <c r="Q143" s="10"/>
      <c r="R143" s="18"/>
      <c r="S143" s="10"/>
      <c r="T143" s="10"/>
      <c r="U143" s="13"/>
      <c r="V143" s="13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3"/>
      <c r="AL143" s="14"/>
      <c r="AM143" s="15"/>
      <c r="AN143" s="15"/>
      <c r="AO143" s="13"/>
      <c r="AP143" s="13"/>
      <c r="AQ143" s="16"/>
      <c r="AR143" s="10"/>
      <c r="AS143" s="10"/>
      <c r="AT143" s="10"/>
      <c r="AU143" s="10"/>
      <c r="AV143" s="11"/>
      <c r="AW143" s="11"/>
      <c r="AX143" s="10"/>
      <c r="AY143" s="11"/>
      <c r="AZ143" s="11"/>
      <c r="BA143" s="11"/>
      <c r="BB143" s="10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7"/>
      <c r="CD143" s="17"/>
      <c r="CE143" s="11"/>
      <c r="CF143" s="13"/>
      <c r="CG143" s="13"/>
      <c r="CH143" s="13"/>
      <c r="CI143" s="13"/>
      <c r="CJ143" s="13"/>
    </row>
    <row r="144" spans="1:88" s="9" customFormat="1" x14ac:dyDescent="0.25">
      <c r="A144" s="10"/>
      <c r="B144" s="10"/>
      <c r="C144" s="10"/>
      <c r="D144" s="10"/>
      <c r="E144" s="11"/>
      <c r="F144" s="10"/>
      <c r="G144" s="10"/>
      <c r="H144" s="10"/>
      <c r="I144" s="10"/>
      <c r="J144" s="10"/>
      <c r="K144" s="12"/>
      <c r="L144" s="10"/>
      <c r="M144" s="10"/>
      <c r="N144" s="13"/>
      <c r="O144" s="10"/>
      <c r="P144" s="10"/>
      <c r="Q144" s="10"/>
      <c r="R144" s="18"/>
      <c r="S144" s="10"/>
      <c r="T144" s="10"/>
      <c r="U144" s="13"/>
      <c r="V144" s="13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3"/>
      <c r="AL144" s="14"/>
      <c r="AM144" s="15"/>
      <c r="AN144" s="15"/>
      <c r="AO144" s="13"/>
      <c r="AP144" s="13"/>
      <c r="AQ144" s="16"/>
      <c r="AR144" s="10"/>
      <c r="AS144" s="10"/>
      <c r="AT144" s="10"/>
      <c r="AU144" s="10"/>
      <c r="AV144" s="11"/>
      <c r="AW144" s="11"/>
      <c r="AX144" s="10"/>
      <c r="AY144" s="11"/>
      <c r="AZ144" s="11"/>
      <c r="BA144" s="11"/>
      <c r="BB144" s="10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7"/>
      <c r="CD144" s="17"/>
      <c r="CE144" s="11"/>
      <c r="CF144" s="13"/>
      <c r="CG144" s="13"/>
      <c r="CH144" s="13"/>
      <c r="CI144" s="13"/>
      <c r="CJ144" s="13"/>
    </row>
    <row r="145" spans="1:88" s="9" customFormat="1" x14ac:dyDescent="0.25">
      <c r="A145" s="10"/>
      <c r="B145" s="10"/>
      <c r="C145" s="10"/>
      <c r="D145" s="10"/>
      <c r="E145" s="11"/>
      <c r="F145" s="10"/>
      <c r="G145" s="10"/>
      <c r="H145" s="10"/>
      <c r="I145" s="10"/>
      <c r="J145" s="10"/>
      <c r="K145" s="12"/>
      <c r="L145" s="10"/>
      <c r="M145" s="10"/>
      <c r="N145" s="13"/>
      <c r="O145" s="10"/>
      <c r="P145" s="10"/>
      <c r="Q145" s="10"/>
      <c r="R145" s="18"/>
      <c r="S145" s="10"/>
      <c r="T145" s="10"/>
      <c r="U145" s="13"/>
      <c r="V145" s="13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3"/>
      <c r="AL145" s="14"/>
      <c r="AM145" s="15"/>
      <c r="AN145" s="15"/>
      <c r="AO145" s="13"/>
      <c r="AP145" s="13"/>
      <c r="AQ145" s="16"/>
      <c r="AR145" s="10"/>
      <c r="AS145" s="10"/>
      <c r="AT145" s="10"/>
      <c r="AU145" s="10"/>
      <c r="AV145" s="11"/>
      <c r="AW145" s="11"/>
      <c r="AX145" s="10"/>
      <c r="AY145" s="11"/>
      <c r="AZ145" s="11"/>
      <c r="BA145" s="11"/>
      <c r="BB145" s="10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7"/>
      <c r="CD145" s="17"/>
      <c r="CE145" s="11"/>
      <c r="CF145" s="13"/>
      <c r="CG145" s="13"/>
      <c r="CH145" s="13"/>
      <c r="CI145" s="13"/>
      <c r="CJ145" s="13"/>
    </row>
    <row r="146" spans="1:88" s="9" customFormat="1" x14ac:dyDescent="0.25">
      <c r="A146" s="10"/>
      <c r="B146" s="10"/>
      <c r="C146" s="10"/>
      <c r="D146" s="10"/>
      <c r="E146" s="11"/>
      <c r="F146" s="10"/>
      <c r="G146" s="10"/>
      <c r="H146" s="10"/>
      <c r="I146" s="10"/>
      <c r="J146" s="10"/>
      <c r="K146" s="12"/>
      <c r="L146" s="10"/>
      <c r="M146" s="10"/>
      <c r="N146" s="13"/>
      <c r="O146" s="10"/>
      <c r="P146" s="10"/>
      <c r="Q146" s="10"/>
      <c r="R146" s="18"/>
      <c r="S146" s="10"/>
      <c r="T146" s="10"/>
      <c r="U146" s="13"/>
      <c r="V146" s="13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3"/>
      <c r="AL146" s="14"/>
      <c r="AM146" s="15"/>
      <c r="AN146" s="15"/>
      <c r="AO146" s="13"/>
      <c r="AP146" s="13"/>
      <c r="AQ146" s="16"/>
      <c r="AR146" s="10"/>
      <c r="AS146" s="10"/>
      <c r="AT146" s="10"/>
      <c r="AU146" s="10"/>
      <c r="AV146" s="11"/>
      <c r="AW146" s="11"/>
      <c r="AX146" s="10"/>
      <c r="AY146" s="11"/>
      <c r="AZ146" s="11"/>
      <c r="BA146" s="11"/>
      <c r="BB146" s="10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7"/>
      <c r="CD146" s="17"/>
      <c r="CE146" s="11"/>
      <c r="CF146" s="13"/>
      <c r="CG146" s="13"/>
      <c r="CH146" s="13"/>
      <c r="CI146" s="13"/>
      <c r="CJ146" s="13"/>
    </row>
    <row r="147" spans="1:88" s="9" customFormat="1" x14ac:dyDescent="0.25">
      <c r="A147" s="10"/>
      <c r="B147" s="10"/>
      <c r="C147" s="10"/>
      <c r="D147" s="10"/>
      <c r="E147" s="11"/>
      <c r="F147" s="10"/>
      <c r="G147" s="10"/>
      <c r="H147" s="10"/>
      <c r="I147" s="10"/>
      <c r="J147" s="10"/>
      <c r="K147" s="12"/>
      <c r="L147" s="10"/>
      <c r="M147" s="10"/>
      <c r="N147" s="13"/>
      <c r="O147" s="10"/>
      <c r="P147" s="10"/>
      <c r="Q147" s="10"/>
      <c r="R147" s="18"/>
      <c r="S147" s="10"/>
      <c r="T147" s="10"/>
      <c r="U147" s="13"/>
      <c r="V147" s="13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3"/>
      <c r="AL147" s="14"/>
      <c r="AM147" s="15"/>
      <c r="AN147" s="15"/>
      <c r="AO147" s="13"/>
      <c r="AP147" s="13"/>
      <c r="AQ147" s="16"/>
      <c r="AR147" s="10"/>
      <c r="AS147" s="10"/>
      <c r="AT147" s="10"/>
      <c r="AU147" s="10"/>
      <c r="AV147" s="11"/>
      <c r="AW147" s="11"/>
      <c r="AX147" s="10"/>
      <c r="AY147" s="11"/>
      <c r="AZ147" s="11"/>
      <c r="BA147" s="11"/>
      <c r="BB147" s="10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7"/>
      <c r="CD147" s="17"/>
      <c r="CE147" s="11"/>
      <c r="CF147" s="13"/>
      <c r="CG147" s="13"/>
      <c r="CH147" s="13"/>
      <c r="CI147" s="13"/>
      <c r="CJ147" s="13"/>
    </row>
    <row r="148" spans="1:88" s="9" customFormat="1" x14ac:dyDescent="0.25">
      <c r="A148" s="10"/>
      <c r="B148" s="10"/>
      <c r="C148" s="10"/>
      <c r="D148" s="10"/>
      <c r="E148" s="11"/>
      <c r="F148" s="10"/>
      <c r="G148" s="10"/>
      <c r="H148" s="10"/>
      <c r="I148" s="10"/>
      <c r="J148" s="10"/>
      <c r="K148" s="12"/>
      <c r="L148" s="10"/>
      <c r="M148" s="10"/>
      <c r="N148" s="13"/>
      <c r="O148" s="10"/>
      <c r="P148" s="10"/>
      <c r="Q148" s="10"/>
      <c r="R148" s="18"/>
      <c r="S148" s="10"/>
      <c r="T148" s="10"/>
      <c r="U148" s="13"/>
      <c r="V148" s="13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3"/>
      <c r="AL148" s="14"/>
      <c r="AM148" s="15"/>
      <c r="AN148" s="15"/>
      <c r="AO148" s="13"/>
      <c r="AP148" s="13"/>
      <c r="AQ148" s="16"/>
      <c r="AR148" s="10"/>
      <c r="AS148" s="10"/>
      <c r="AT148" s="10"/>
      <c r="AU148" s="10"/>
      <c r="AV148" s="11"/>
      <c r="AW148" s="11"/>
      <c r="AX148" s="10"/>
      <c r="AY148" s="11"/>
      <c r="AZ148" s="11"/>
      <c r="BA148" s="11"/>
      <c r="BB148" s="10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7"/>
      <c r="CD148" s="17"/>
      <c r="CE148" s="11"/>
      <c r="CF148" s="13"/>
      <c r="CG148" s="13"/>
      <c r="CH148" s="13"/>
      <c r="CI148" s="13"/>
      <c r="CJ148" s="13"/>
    </row>
    <row r="149" spans="1:88" s="9" customFormat="1" x14ac:dyDescent="0.25">
      <c r="A149" s="10"/>
      <c r="B149" s="10"/>
      <c r="C149" s="10"/>
      <c r="D149" s="10"/>
      <c r="E149" s="11"/>
      <c r="F149" s="10"/>
      <c r="G149" s="10"/>
      <c r="H149" s="10"/>
      <c r="I149" s="10"/>
      <c r="J149" s="10"/>
      <c r="K149" s="12"/>
      <c r="L149" s="10"/>
      <c r="M149" s="10"/>
      <c r="N149" s="13"/>
      <c r="O149" s="10"/>
      <c r="P149" s="10"/>
      <c r="Q149" s="10"/>
      <c r="R149" s="18"/>
      <c r="S149" s="10"/>
      <c r="T149" s="10"/>
      <c r="U149" s="13"/>
      <c r="V149" s="13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3"/>
      <c r="AL149" s="14"/>
      <c r="AM149" s="15"/>
      <c r="AN149" s="15"/>
      <c r="AO149" s="13"/>
      <c r="AP149" s="13"/>
      <c r="AQ149" s="16"/>
      <c r="AR149" s="10"/>
      <c r="AS149" s="10"/>
      <c r="AT149" s="10"/>
      <c r="AU149" s="10"/>
      <c r="AV149" s="11"/>
      <c r="AW149" s="11"/>
      <c r="AX149" s="10"/>
      <c r="AY149" s="11"/>
      <c r="AZ149" s="11"/>
      <c r="BA149" s="11"/>
      <c r="BB149" s="10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7"/>
      <c r="CD149" s="17"/>
      <c r="CE149" s="11"/>
      <c r="CF149" s="13"/>
      <c r="CG149" s="13"/>
      <c r="CH149" s="13"/>
      <c r="CI149" s="13"/>
      <c r="CJ149" s="13"/>
    </row>
    <row r="150" spans="1:88" s="9" customFormat="1" x14ac:dyDescent="0.25">
      <c r="A150" s="10"/>
      <c r="B150" s="10"/>
      <c r="C150" s="10"/>
      <c r="D150" s="10"/>
      <c r="E150" s="11"/>
      <c r="F150" s="10"/>
      <c r="G150" s="10"/>
      <c r="H150" s="10"/>
      <c r="I150" s="10"/>
      <c r="J150" s="10"/>
      <c r="K150" s="12"/>
      <c r="L150" s="10"/>
      <c r="M150" s="10"/>
      <c r="N150" s="13"/>
      <c r="O150" s="10"/>
      <c r="P150" s="10"/>
      <c r="Q150" s="10"/>
      <c r="R150" s="18"/>
      <c r="S150" s="10"/>
      <c r="T150" s="10"/>
      <c r="U150" s="13"/>
      <c r="V150" s="13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3"/>
      <c r="AL150" s="14"/>
      <c r="AM150" s="15"/>
      <c r="AN150" s="15"/>
      <c r="AO150" s="13"/>
      <c r="AP150" s="13"/>
      <c r="AQ150" s="16"/>
      <c r="AR150" s="10"/>
      <c r="AS150" s="10"/>
      <c r="AT150" s="10"/>
      <c r="AU150" s="10"/>
      <c r="AV150" s="11"/>
      <c r="AW150" s="11"/>
      <c r="AX150" s="10"/>
      <c r="AY150" s="11"/>
      <c r="AZ150" s="11"/>
      <c r="BA150" s="11"/>
      <c r="BB150" s="10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7"/>
      <c r="CD150" s="17"/>
      <c r="CE150" s="11"/>
      <c r="CF150" s="13"/>
      <c r="CG150" s="13"/>
      <c r="CH150" s="13"/>
      <c r="CI150" s="13"/>
      <c r="CJ150" s="13"/>
    </row>
    <row r="151" spans="1:88" s="9" customFormat="1" x14ac:dyDescent="0.25">
      <c r="A151" s="10"/>
      <c r="B151" s="10"/>
      <c r="C151" s="10"/>
      <c r="D151" s="10"/>
      <c r="E151" s="11"/>
      <c r="F151" s="10"/>
      <c r="G151" s="10"/>
      <c r="H151" s="10"/>
      <c r="I151" s="10"/>
      <c r="J151" s="10"/>
      <c r="K151" s="12"/>
      <c r="L151" s="10"/>
      <c r="M151" s="10"/>
      <c r="N151" s="13"/>
      <c r="O151" s="10"/>
      <c r="P151" s="10"/>
      <c r="Q151" s="10"/>
      <c r="R151" s="18"/>
      <c r="S151" s="10"/>
      <c r="T151" s="10"/>
      <c r="U151" s="13"/>
      <c r="V151" s="13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3"/>
      <c r="AL151" s="14"/>
      <c r="AM151" s="15"/>
      <c r="AN151" s="15"/>
      <c r="AO151" s="13"/>
      <c r="AP151" s="13"/>
      <c r="AQ151" s="16"/>
      <c r="AR151" s="10"/>
      <c r="AS151" s="10"/>
      <c r="AT151" s="10"/>
      <c r="AU151" s="10"/>
      <c r="AV151" s="11"/>
      <c r="AW151" s="11"/>
      <c r="AX151" s="10"/>
      <c r="AY151" s="11"/>
      <c r="AZ151" s="11"/>
      <c r="BA151" s="11"/>
      <c r="BB151" s="10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7"/>
      <c r="CD151" s="17"/>
      <c r="CE151" s="11"/>
      <c r="CF151" s="13"/>
      <c r="CG151" s="13"/>
      <c r="CH151" s="13"/>
      <c r="CI151" s="13"/>
      <c r="CJ151" s="13"/>
    </row>
    <row r="152" spans="1:88" s="9" customFormat="1" x14ac:dyDescent="0.25">
      <c r="A152" s="10"/>
      <c r="B152" s="10"/>
      <c r="C152" s="10"/>
      <c r="D152" s="10"/>
      <c r="E152" s="11"/>
      <c r="F152" s="10"/>
      <c r="G152" s="10"/>
      <c r="H152" s="10"/>
      <c r="I152" s="10"/>
      <c r="J152" s="10"/>
      <c r="K152" s="12"/>
      <c r="L152" s="10"/>
      <c r="M152" s="10"/>
      <c r="N152" s="13"/>
      <c r="O152" s="10"/>
      <c r="P152" s="10"/>
      <c r="Q152" s="10"/>
      <c r="R152" s="18"/>
      <c r="S152" s="10"/>
      <c r="T152" s="10"/>
      <c r="U152" s="13"/>
      <c r="V152" s="13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3"/>
      <c r="AL152" s="14"/>
      <c r="AM152" s="15"/>
      <c r="AN152" s="15"/>
      <c r="AO152" s="13"/>
      <c r="AP152" s="13"/>
      <c r="AQ152" s="16"/>
      <c r="AR152" s="10"/>
      <c r="AS152" s="10"/>
      <c r="AT152" s="10"/>
      <c r="AU152" s="10"/>
      <c r="AV152" s="11"/>
      <c r="AW152" s="11"/>
      <c r="AX152" s="10"/>
      <c r="AY152" s="11"/>
      <c r="AZ152" s="11"/>
      <c r="BA152" s="11"/>
      <c r="BB152" s="10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7"/>
      <c r="CD152" s="17"/>
      <c r="CE152" s="11"/>
      <c r="CF152" s="13"/>
      <c r="CG152" s="13"/>
      <c r="CH152" s="13"/>
      <c r="CI152" s="13"/>
      <c r="CJ152" s="13"/>
    </row>
    <row r="153" spans="1:88" s="9" customFormat="1" x14ac:dyDescent="0.25">
      <c r="A153" s="10"/>
      <c r="B153" s="10"/>
      <c r="C153" s="10"/>
      <c r="D153" s="10"/>
      <c r="E153" s="11"/>
      <c r="F153" s="10"/>
      <c r="G153" s="10"/>
      <c r="H153" s="10"/>
      <c r="I153" s="10"/>
      <c r="J153" s="10"/>
      <c r="K153" s="12"/>
      <c r="L153" s="10"/>
      <c r="M153" s="10"/>
      <c r="N153" s="13"/>
      <c r="O153" s="10"/>
      <c r="P153" s="10"/>
      <c r="Q153" s="10"/>
      <c r="R153" s="18"/>
      <c r="S153" s="10"/>
      <c r="T153" s="10"/>
      <c r="U153" s="13"/>
      <c r="V153" s="13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3"/>
      <c r="AL153" s="14"/>
      <c r="AM153" s="15"/>
      <c r="AN153" s="15"/>
      <c r="AO153" s="13"/>
      <c r="AP153" s="13"/>
      <c r="AQ153" s="16"/>
      <c r="AR153" s="10"/>
      <c r="AS153" s="10"/>
      <c r="AT153" s="10"/>
      <c r="AU153" s="10"/>
      <c r="AV153" s="11"/>
      <c r="AW153" s="11"/>
      <c r="AX153" s="10"/>
      <c r="AY153" s="11"/>
      <c r="AZ153" s="11"/>
      <c r="BA153" s="11"/>
      <c r="BB153" s="10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7"/>
      <c r="CD153" s="17"/>
      <c r="CE153" s="11"/>
      <c r="CF153" s="13"/>
      <c r="CG153" s="13"/>
      <c r="CH153" s="13"/>
      <c r="CI153" s="13"/>
      <c r="CJ153" s="13"/>
    </row>
    <row r="154" spans="1:88" s="9" customFormat="1" x14ac:dyDescent="0.25">
      <c r="A154" s="10"/>
      <c r="B154" s="10"/>
      <c r="C154" s="10"/>
      <c r="D154" s="10"/>
      <c r="E154" s="11"/>
      <c r="F154" s="10"/>
      <c r="G154" s="10"/>
      <c r="H154" s="10"/>
      <c r="I154" s="10"/>
      <c r="J154" s="10"/>
      <c r="K154" s="12"/>
      <c r="L154" s="10"/>
      <c r="M154" s="10"/>
      <c r="N154" s="13"/>
      <c r="O154" s="10"/>
      <c r="P154" s="10"/>
      <c r="Q154" s="10"/>
      <c r="R154" s="18"/>
      <c r="S154" s="10"/>
      <c r="T154" s="10"/>
      <c r="U154" s="13"/>
      <c r="V154" s="13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3"/>
      <c r="AL154" s="14"/>
      <c r="AM154" s="15"/>
      <c r="AN154" s="15"/>
      <c r="AO154" s="13"/>
      <c r="AP154" s="13"/>
      <c r="AQ154" s="16"/>
      <c r="AR154" s="10"/>
      <c r="AS154" s="10"/>
      <c r="AT154" s="10"/>
      <c r="AU154" s="10"/>
      <c r="AV154" s="11"/>
      <c r="AW154" s="11"/>
      <c r="AX154" s="10"/>
      <c r="AY154" s="11"/>
      <c r="AZ154" s="11"/>
      <c r="BA154" s="11"/>
      <c r="BB154" s="10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7"/>
      <c r="CD154" s="17"/>
      <c r="CE154" s="11"/>
      <c r="CF154" s="13"/>
      <c r="CG154" s="13"/>
      <c r="CH154" s="13"/>
      <c r="CI154" s="13"/>
      <c r="CJ154" s="13"/>
    </row>
    <row r="155" spans="1:88" s="9" customFormat="1" x14ac:dyDescent="0.25">
      <c r="A155" s="10"/>
      <c r="B155" s="10"/>
      <c r="C155" s="10"/>
      <c r="D155" s="10"/>
      <c r="E155" s="11"/>
      <c r="F155" s="10"/>
      <c r="G155" s="10"/>
      <c r="H155" s="10"/>
      <c r="I155" s="10"/>
      <c r="J155" s="10"/>
      <c r="K155" s="12"/>
      <c r="L155" s="10"/>
      <c r="M155" s="10"/>
      <c r="N155" s="13"/>
      <c r="O155" s="10"/>
      <c r="P155" s="10"/>
      <c r="Q155" s="10"/>
      <c r="R155" s="18"/>
      <c r="S155" s="10"/>
      <c r="T155" s="10"/>
      <c r="U155" s="13"/>
      <c r="V155" s="13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3"/>
      <c r="AL155" s="14"/>
      <c r="AM155" s="15"/>
      <c r="AN155" s="15"/>
      <c r="AO155" s="13"/>
      <c r="AP155" s="13"/>
      <c r="AQ155" s="16"/>
      <c r="AR155" s="10"/>
      <c r="AS155" s="10"/>
      <c r="AT155" s="10"/>
      <c r="AU155" s="10"/>
      <c r="AV155" s="11"/>
      <c r="AW155" s="11"/>
      <c r="AX155" s="10"/>
      <c r="AY155" s="11"/>
      <c r="AZ155" s="11"/>
      <c r="BA155" s="11"/>
      <c r="BB155" s="10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7"/>
      <c r="CD155" s="17"/>
      <c r="CE155" s="11"/>
      <c r="CF155" s="13"/>
      <c r="CG155" s="13"/>
      <c r="CH155" s="13"/>
      <c r="CI155" s="13"/>
      <c r="CJ155" s="13"/>
    </row>
    <row r="156" spans="1:88" s="9" customFormat="1" x14ac:dyDescent="0.25">
      <c r="A156" s="10"/>
      <c r="B156" s="10"/>
      <c r="C156" s="10"/>
      <c r="D156" s="10"/>
      <c r="E156" s="11"/>
      <c r="F156" s="10"/>
      <c r="G156" s="10"/>
      <c r="H156" s="10"/>
      <c r="I156" s="10"/>
      <c r="J156" s="10"/>
      <c r="K156" s="12"/>
      <c r="L156" s="10"/>
      <c r="M156" s="10"/>
      <c r="N156" s="13"/>
      <c r="O156" s="10"/>
      <c r="P156" s="10"/>
      <c r="Q156" s="10"/>
      <c r="R156" s="18"/>
      <c r="S156" s="10"/>
      <c r="T156" s="10"/>
      <c r="U156" s="13"/>
      <c r="V156" s="13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3"/>
      <c r="AL156" s="14"/>
      <c r="AM156" s="15"/>
      <c r="AN156" s="15"/>
      <c r="AO156" s="13"/>
      <c r="AP156" s="13"/>
      <c r="AQ156" s="16"/>
      <c r="AR156" s="10"/>
      <c r="AS156" s="10"/>
      <c r="AT156" s="10"/>
      <c r="AU156" s="10"/>
      <c r="AV156" s="11"/>
      <c r="AW156" s="11"/>
      <c r="AX156" s="10"/>
      <c r="AY156" s="11"/>
      <c r="AZ156" s="11"/>
      <c r="BA156" s="11"/>
      <c r="BB156" s="10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7"/>
      <c r="CD156" s="17"/>
      <c r="CE156" s="11"/>
      <c r="CF156" s="13"/>
      <c r="CG156" s="13"/>
      <c r="CH156" s="13"/>
      <c r="CI156" s="13"/>
      <c r="CJ156" s="13"/>
    </row>
    <row r="157" spans="1:88" s="9" customFormat="1" x14ac:dyDescent="0.25">
      <c r="A157" s="10"/>
      <c r="B157" s="10"/>
      <c r="C157" s="10"/>
      <c r="D157" s="10"/>
      <c r="E157" s="11"/>
      <c r="F157" s="10"/>
      <c r="G157" s="10"/>
      <c r="H157" s="10"/>
      <c r="I157" s="10"/>
      <c r="J157" s="10"/>
      <c r="K157" s="12"/>
      <c r="L157" s="10"/>
      <c r="M157" s="10"/>
      <c r="N157" s="13"/>
      <c r="O157" s="10"/>
      <c r="P157" s="10"/>
      <c r="Q157" s="10"/>
      <c r="R157" s="18"/>
      <c r="S157" s="10"/>
      <c r="T157" s="10"/>
      <c r="U157" s="13"/>
      <c r="V157" s="13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3"/>
      <c r="AL157" s="14"/>
      <c r="AM157" s="15"/>
      <c r="AN157" s="15"/>
      <c r="AO157" s="13"/>
      <c r="AP157" s="13"/>
      <c r="AQ157" s="16"/>
      <c r="AR157" s="10"/>
      <c r="AS157" s="10"/>
      <c r="AT157" s="10"/>
      <c r="AU157" s="10"/>
      <c r="AV157" s="11"/>
      <c r="AW157" s="11"/>
      <c r="AX157" s="10"/>
      <c r="AY157" s="11"/>
      <c r="AZ157" s="11"/>
      <c r="BA157" s="11"/>
      <c r="BB157" s="10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7"/>
      <c r="CD157" s="17"/>
      <c r="CE157" s="11"/>
      <c r="CF157" s="13"/>
      <c r="CG157" s="13"/>
      <c r="CH157" s="13"/>
      <c r="CI157" s="13"/>
      <c r="CJ157" s="13"/>
    </row>
    <row r="158" spans="1:88" s="9" customFormat="1" x14ac:dyDescent="0.25">
      <c r="A158" s="10"/>
      <c r="B158" s="10"/>
      <c r="C158" s="10"/>
      <c r="D158" s="10"/>
      <c r="E158" s="11"/>
      <c r="F158" s="10"/>
      <c r="G158" s="10"/>
      <c r="H158" s="10"/>
      <c r="I158" s="10"/>
      <c r="J158" s="10"/>
      <c r="K158" s="12"/>
      <c r="L158" s="10"/>
      <c r="M158" s="10"/>
      <c r="N158" s="13"/>
      <c r="O158" s="10"/>
      <c r="P158" s="10"/>
      <c r="Q158" s="10"/>
      <c r="R158" s="18"/>
      <c r="S158" s="10"/>
      <c r="T158" s="10"/>
      <c r="U158" s="13"/>
      <c r="V158" s="13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3"/>
      <c r="AL158" s="14"/>
      <c r="AM158" s="15"/>
      <c r="AN158" s="15"/>
      <c r="AO158" s="13"/>
      <c r="AP158" s="13"/>
      <c r="AQ158" s="16"/>
      <c r="AR158" s="10"/>
      <c r="AS158" s="10"/>
      <c r="AT158" s="10"/>
      <c r="AU158" s="10"/>
      <c r="AV158" s="11"/>
      <c r="AW158" s="11"/>
      <c r="AX158" s="10"/>
      <c r="AY158" s="11"/>
      <c r="AZ158" s="11"/>
      <c r="BA158" s="11"/>
      <c r="BB158" s="10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7"/>
      <c r="CD158" s="17"/>
      <c r="CE158" s="11"/>
      <c r="CF158" s="13"/>
      <c r="CG158" s="13"/>
      <c r="CH158" s="13"/>
      <c r="CI158" s="13"/>
      <c r="CJ158" s="13"/>
    </row>
    <row r="159" spans="1:88" s="9" customFormat="1" x14ac:dyDescent="0.25">
      <c r="A159" s="10"/>
      <c r="B159" s="10"/>
      <c r="C159" s="10"/>
      <c r="D159" s="10"/>
      <c r="E159" s="11"/>
      <c r="F159" s="10"/>
      <c r="G159" s="10"/>
      <c r="H159" s="10"/>
      <c r="I159" s="10"/>
      <c r="J159" s="10"/>
      <c r="K159" s="12"/>
      <c r="L159" s="10"/>
      <c r="M159" s="10"/>
      <c r="N159" s="13"/>
      <c r="O159" s="10"/>
      <c r="P159" s="10"/>
      <c r="Q159" s="10"/>
      <c r="R159" s="18"/>
      <c r="S159" s="10"/>
      <c r="T159" s="10"/>
      <c r="U159" s="13"/>
      <c r="V159" s="13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3"/>
      <c r="AL159" s="14"/>
      <c r="AM159" s="15"/>
      <c r="AN159" s="15"/>
      <c r="AO159" s="13"/>
      <c r="AP159" s="13"/>
      <c r="AQ159" s="16"/>
      <c r="AR159" s="10"/>
      <c r="AS159" s="10"/>
      <c r="AT159" s="10"/>
      <c r="AU159" s="10"/>
      <c r="AV159" s="11"/>
      <c r="AW159" s="11"/>
      <c r="AX159" s="10"/>
      <c r="AY159" s="11"/>
      <c r="AZ159" s="11"/>
      <c r="BA159" s="11"/>
      <c r="BB159" s="10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7"/>
      <c r="CD159" s="17"/>
      <c r="CE159" s="11"/>
      <c r="CF159" s="13"/>
      <c r="CG159" s="13"/>
      <c r="CH159" s="13"/>
      <c r="CI159" s="13"/>
      <c r="CJ159" s="13"/>
    </row>
    <row r="160" spans="1:88" s="9" customFormat="1" x14ac:dyDescent="0.25">
      <c r="A160" s="10"/>
      <c r="B160" s="10"/>
      <c r="C160" s="10"/>
      <c r="D160" s="10"/>
      <c r="E160" s="11"/>
      <c r="F160" s="10"/>
      <c r="G160" s="10"/>
      <c r="H160" s="10"/>
      <c r="I160" s="10"/>
      <c r="J160" s="10"/>
      <c r="K160" s="12"/>
      <c r="L160" s="10"/>
      <c r="M160" s="10"/>
      <c r="N160" s="13"/>
      <c r="O160" s="10"/>
      <c r="P160" s="10"/>
      <c r="Q160" s="10"/>
      <c r="R160" s="18"/>
      <c r="S160" s="10"/>
      <c r="T160" s="10"/>
      <c r="U160" s="13"/>
      <c r="V160" s="13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3"/>
      <c r="AL160" s="14"/>
      <c r="AM160" s="15"/>
      <c r="AN160" s="15"/>
      <c r="AO160" s="13"/>
      <c r="AP160" s="13"/>
      <c r="AQ160" s="16"/>
      <c r="AR160" s="10"/>
      <c r="AS160" s="10"/>
      <c r="AT160" s="10"/>
      <c r="AU160" s="10"/>
      <c r="AV160" s="11"/>
      <c r="AW160" s="11"/>
      <c r="AX160" s="10"/>
      <c r="AY160" s="11"/>
      <c r="AZ160" s="11"/>
      <c r="BA160" s="11"/>
      <c r="BB160" s="10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7"/>
      <c r="CD160" s="17"/>
      <c r="CE160" s="11"/>
      <c r="CF160" s="13"/>
      <c r="CG160" s="13"/>
      <c r="CH160" s="13"/>
      <c r="CI160" s="13"/>
      <c r="CJ160" s="13"/>
    </row>
    <row r="161" spans="1:88" s="9" customFormat="1" x14ac:dyDescent="0.25">
      <c r="A161" s="10"/>
      <c r="B161" s="10"/>
      <c r="C161" s="10"/>
      <c r="D161" s="10"/>
      <c r="E161" s="11"/>
      <c r="F161" s="10"/>
      <c r="G161" s="10"/>
      <c r="H161" s="10"/>
      <c r="I161" s="10"/>
      <c r="J161" s="10"/>
      <c r="K161" s="12"/>
      <c r="L161" s="10"/>
      <c r="M161" s="10"/>
      <c r="N161" s="13"/>
      <c r="O161" s="10"/>
      <c r="P161" s="10"/>
      <c r="Q161" s="10"/>
      <c r="R161" s="18"/>
      <c r="S161" s="10"/>
      <c r="T161" s="10"/>
      <c r="U161" s="13"/>
      <c r="V161" s="13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3"/>
      <c r="AL161" s="14"/>
      <c r="AM161" s="15"/>
      <c r="AN161" s="15"/>
      <c r="AO161" s="13"/>
      <c r="AP161" s="13"/>
      <c r="AQ161" s="16"/>
      <c r="AR161" s="10"/>
      <c r="AS161" s="10"/>
      <c r="AT161" s="10"/>
      <c r="AU161" s="10"/>
      <c r="AV161" s="11"/>
      <c r="AW161" s="11"/>
      <c r="AX161" s="10"/>
      <c r="AY161" s="11"/>
      <c r="AZ161" s="11"/>
      <c r="BA161" s="11"/>
      <c r="BB161" s="10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7"/>
      <c r="CD161" s="17"/>
      <c r="CE161" s="11"/>
      <c r="CF161" s="13"/>
      <c r="CG161" s="13"/>
      <c r="CH161" s="13"/>
      <c r="CI161" s="13"/>
      <c r="CJ161" s="13"/>
    </row>
    <row r="162" spans="1:88" s="9" customFormat="1" x14ac:dyDescent="0.25">
      <c r="A162" s="10"/>
      <c r="B162" s="10"/>
      <c r="C162" s="10"/>
      <c r="D162" s="10"/>
      <c r="E162" s="11"/>
      <c r="F162" s="10"/>
      <c r="G162" s="10"/>
      <c r="H162" s="10"/>
      <c r="I162" s="10"/>
      <c r="J162" s="10"/>
      <c r="K162" s="12"/>
      <c r="L162" s="10"/>
      <c r="M162" s="10"/>
      <c r="N162" s="13"/>
      <c r="O162" s="10"/>
      <c r="P162" s="10"/>
      <c r="Q162" s="10"/>
      <c r="R162" s="18"/>
      <c r="S162" s="10"/>
      <c r="T162" s="10"/>
      <c r="U162" s="13"/>
      <c r="V162" s="13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3"/>
      <c r="AL162" s="14"/>
      <c r="AM162" s="15"/>
      <c r="AN162" s="15"/>
      <c r="AO162" s="13"/>
      <c r="AP162" s="13"/>
      <c r="AQ162" s="16"/>
      <c r="AR162" s="10"/>
      <c r="AS162" s="10"/>
      <c r="AT162" s="10"/>
      <c r="AU162" s="10"/>
      <c r="AV162" s="11"/>
      <c r="AW162" s="11"/>
      <c r="AX162" s="10"/>
      <c r="AY162" s="11"/>
      <c r="AZ162" s="11"/>
      <c r="BA162" s="11"/>
      <c r="BB162" s="10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7"/>
      <c r="CD162" s="17"/>
      <c r="CE162" s="11"/>
      <c r="CF162" s="13"/>
      <c r="CG162" s="13"/>
      <c r="CH162" s="13"/>
      <c r="CI162" s="13"/>
      <c r="CJ162" s="13"/>
    </row>
    <row r="163" spans="1:88" s="9" customFormat="1" x14ac:dyDescent="0.25">
      <c r="A163" s="10"/>
      <c r="B163" s="10"/>
      <c r="C163" s="10"/>
      <c r="D163" s="10"/>
      <c r="E163" s="11"/>
      <c r="F163" s="10"/>
      <c r="G163" s="10"/>
      <c r="H163" s="10"/>
      <c r="I163" s="10"/>
      <c r="J163" s="10"/>
      <c r="K163" s="12"/>
      <c r="L163" s="10"/>
      <c r="M163" s="10"/>
      <c r="N163" s="13"/>
      <c r="O163" s="10"/>
      <c r="P163" s="10"/>
      <c r="Q163" s="10"/>
      <c r="R163" s="18"/>
      <c r="S163" s="10"/>
      <c r="T163" s="10"/>
      <c r="U163" s="13"/>
      <c r="V163" s="13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3"/>
      <c r="AL163" s="14"/>
      <c r="AM163" s="15"/>
      <c r="AN163" s="15"/>
      <c r="AO163" s="13"/>
      <c r="AP163" s="13"/>
      <c r="AQ163" s="16"/>
      <c r="AR163" s="10"/>
      <c r="AS163" s="10"/>
      <c r="AT163" s="10"/>
      <c r="AU163" s="10"/>
      <c r="AV163" s="11"/>
      <c r="AW163" s="11"/>
      <c r="AX163" s="10"/>
      <c r="AY163" s="11"/>
      <c r="AZ163" s="11"/>
      <c r="BA163" s="11"/>
      <c r="BB163" s="10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7"/>
      <c r="CD163" s="17"/>
      <c r="CE163" s="11"/>
      <c r="CF163" s="13"/>
      <c r="CG163" s="13"/>
      <c r="CH163" s="13"/>
      <c r="CI163" s="13"/>
      <c r="CJ163" s="13"/>
    </row>
    <row r="164" spans="1:88" s="9" customFormat="1" x14ac:dyDescent="0.25">
      <c r="A164" s="10"/>
      <c r="B164" s="10"/>
      <c r="C164" s="10"/>
      <c r="D164" s="10"/>
      <c r="E164" s="11"/>
      <c r="F164" s="10"/>
      <c r="G164" s="10"/>
      <c r="H164" s="10"/>
      <c r="I164" s="10"/>
      <c r="J164" s="10"/>
      <c r="K164" s="12"/>
      <c r="L164" s="10"/>
      <c r="M164" s="10"/>
      <c r="N164" s="13"/>
      <c r="O164" s="10"/>
      <c r="P164" s="10"/>
      <c r="Q164" s="10"/>
      <c r="R164" s="18"/>
      <c r="S164" s="10"/>
      <c r="T164" s="10"/>
      <c r="U164" s="13"/>
      <c r="V164" s="13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3"/>
      <c r="AL164" s="14"/>
      <c r="AM164" s="15"/>
      <c r="AN164" s="15"/>
      <c r="AO164" s="13"/>
      <c r="AP164" s="13"/>
      <c r="AQ164" s="16"/>
      <c r="AR164" s="10"/>
      <c r="AS164" s="10"/>
      <c r="AT164" s="10"/>
      <c r="AU164" s="10"/>
      <c r="AV164" s="11"/>
      <c r="AW164" s="11"/>
      <c r="AX164" s="10"/>
      <c r="AY164" s="11"/>
      <c r="AZ164" s="11"/>
      <c r="BA164" s="11"/>
      <c r="BB164" s="10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7"/>
      <c r="CD164" s="17"/>
      <c r="CE164" s="11"/>
      <c r="CF164" s="13"/>
      <c r="CG164" s="13"/>
      <c r="CH164" s="13"/>
      <c r="CI164" s="13"/>
      <c r="CJ164" s="13"/>
    </row>
    <row r="165" spans="1:88" s="9" customFormat="1" x14ac:dyDescent="0.25">
      <c r="A165" s="10"/>
      <c r="B165" s="10"/>
      <c r="C165" s="10"/>
      <c r="D165" s="10"/>
      <c r="E165" s="11"/>
      <c r="F165" s="10"/>
      <c r="G165" s="10"/>
      <c r="H165" s="10"/>
      <c r="I165" s="10"/>
      <c r="J165" s="10"/>
      <c r="K165" s="12"/>
      <c r="L165" s="10"/>
      <c r="M165" s="10"/>
      <c r="N165" s="13"/>
      <c r="O165" s="10"/>
      <c r="P165" s="10"/>
      <c r="Q165" s="10"/>
      <c r="R165" s="18"/>
      <c r="S165" s="10"/>
      <c r="T165" s="10"/>
      <c r="U165" s="13"/>
      <c r="V165" s="13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3"/>
      <c r="AL165" s="14"/>
      <c r="AM165" s="15"/>
      <c r="AN165" s="15"/>
      <c r="AO165" s="13"/>
      <c r="AP165" s="13"/>
      <c r="AQ165" s="16"/>
      <c r="AR165" s="10"/>
      <c r="AS165" s="10"/>
      <c r="AT165" s="10"/>
      <c r="AU165" s="10"/>
      <c r="AV165" s="11"/>
      <c r="AW165" s="11"/>
      <c r="AX165" s="10"/>
      <c r="AY165" s="11"/>
      <c r="AZ165" s="11"/>
      <c r="BA165" s="11"/>
      <c r="BB165" s="10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7"/>
      <c r="CD165" s="17"/>
      <c r="CE165" s="11"/>
      <c r="CF165" s="13"/>
      <c r="CG165" s="13"/>
      <c r="CH165" s="13"/>
      <c r="CI165" s="13"/>
      <c r="CJ165" s="13"/>
    </row>
    <row r="166" spans="1:88" s="9" customFormat="1" x14ac:dyDescent="0.25">
      <c r="A166" s="10"/>
      <c r="B166" s="10"/>
      <c r="C166" s="10"/>
      <c r="D166" s="10"/>
      <c r="E166" s="11"/>
      <c r="F166" s="10"/>
      <c r="G166" s="10"/>
      <c r="H166" s="10"/>
      <c r="I166" s="10"/>
      <c r="J166" s="10"/>
      <c r="K166" s="12"/>
      <c r="L166" s="10"/>
      <c r="M166" s="10"/>
      <c r="N166" s="13"/>
      <c r="O166" s="10"/>
      <c r="P166" s="10"/>
      <c r="Q166" s="10"/>
      <c r="R166" s="18"/>
      <c r="S166" s="10"/>
      <c r="T166" s="10"/>
      <c r="U166" s="13"/>
      <c r="V166" s="13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3"/>
      <c r="AL166" s="14"/>
      <c r="AM166" s="15"/>
      <c r="AN166" s="15"/>
      <c r="AO166" s="13"/>
      <c r="AP166" s="13"/>
      <c r="AQ166" s="16"/>
      <c r="AR166" s="10"/>
      <c r="AS166" s="10"/>
      <c r="AT166" s="10"/>
      <c r="AU166" s="10"/>
      <c r="AV166" s="11"/>
      <c r="AW166" s="11"/>
      <c r="AX166" s="10"/>
      <c r="AY166" s="11"/>
      <c r="AZ166" s="11"/>
      <c r="BA166" s="11"/>
      <c r="BB166" s="10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7"/>
      <c r="CD166" s="17"/>
      <c r="CE166" s="11"/>
      <c r="CF166" s="13"/>
      <c r="CG166" s="13"/>
      <c r="CH166" s="13"/>
      <c r="CI166" s="13"/>
      <c r="CJ166" s="13"/>
    </row>
    <row r="167" spans="1:88" s="9" customFormat="1" x14ac:dyDescent="0.25">
      <c r="A167" s="10"/>
      <c r="B167" s="10"/>
      <c r="C167" s="10"/>
      <c r="D167" s="10"/>
      <c r="E167" s="11"/>
      <c r="F167" s="10"/>
      <c r="G167" s="10"/>
      <c r="H167" s="10"/>
      <c r="I167" s="10"/>
      <c r="J167" s="10"/>
      <c r="K167" s="12"/>
      <c r="L167" s="10"/>
      <c r="M167" s="10"/>
      <c r="N167" s="13"/>
      <c r="O167" s="10"/>
      <c r="P167" s="10"/>
      <c r="Q167" s="10"/>
      <c r="R167" s="18"/>
      <c r="S167" s="10"/>
      <c r="T167" s="10"/>
      <c r="U167" s="13"/>
      <c r="V167" s="13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3"/>
      <c r="AL167" s="14"/>
      <c r="AM167" s="15"/>
      <c r="AN167" s="15"/>
      <c r="AO167" s="13"/>
      <c r="AP167" s="13"/>
      <c r="AQ167" s="16"/>
      <c r="AR167" s="10"/>
      <c r="AS167" s="10"/>
      <c r="AT167" s="10"/>
      <c r="AU167" s="10"/>
      <c r="AV167" s="11"/>
      <c r="AW167" s="11"/>
      <c r="AX167" s="10"/>
      <c r="AY167" s="11"/>
      <c r="AZ167" s="11"/>
      <c r="BA167" s="11"/>
      <c r="BB167" s="10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7"/>
      <c r="CD167" s="17"/>
      <c r="CE167" s="11"/>
      <c r="CF167" s="13"/>
      <c r="CG167" s="13"/>
      <c r="CH167" s="13"/>
      <c r="CI167" s="13"/>
      <c r="CJ167" s="13"/>
    </row>
    <row r="168" spans="1:88" s="9" customFormat="1" x14ac:dyDescent="0.25">
      <c r="A168" s="10"/>
      <c r="B168" s="10"/>
      <c r="C168" s="10"/>
      <c r="D168" s="10"/>
      <c r="E168" s="11"/>
      <c r="F168" s="10"/>
      <c r="G168" s="10"/>
      <c r="H168" s="10"/>
      <c r="I168" s="10"/>
      <c r="J168" s="10"/>
      <c r="K168" s="12"/>
      <c r="L168" s="10"/>
      <c r="M168" s="10"/>
      <c r="N168" s="13"/>
      <c r="O168" s="10"/>
      <c r="P168" s="10"/>
      <c r="Q168" s="10"/>
      <c r="R168" s="18"/>
      <c r="S168" s="10"/>
      <c r="T168" s="10"/>
      <c r="U168" s="13"/>
      <c r="V168" s="13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3"/>
      <c r="AL168" s="14"/>
      <c r="AM168" s="15"/>
      <c r="AN168" s="15"/>
      <c r="AO168" s="13"/>
      <c r="AP168" s="13"/>
      <c r="AQ168" s="16"/>
      <c r="AR168" s="10"/>
      <c r="AS168" s="10"/>
      <c r="AT168" s="10"/>
      <c r="AU168" s="10"/>
      <c r="AV168" s="11"/>
      <c r="AW168" s="11"/>
      <c r="AX168" s="10"/>
      <c r="AY168" s="11"/>
      <c r="AZ168" s="11"/>
      <c r="BA168" s="11"/>
      <c r="BB168" s="10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7"/>
      <c r="CD168" s="17"/>
      <c r="CE168" s="11"/>
      <c r="CF168" s="13"/>
      <c r="CG168" s="13"/>
      <c r="CH168" s="13"/>
      <c r="CI168" s="13"/>
      <c r="CJ168" s="13"/>
    </row>
    <row r="169" spans="1:88" s="9" customFormat="1" x14ac:dyDescent="0.25">
      <c r="A169" s="10"/>
      <c r="B169" s="10"/>
      <c r="C169" s="10"/>
      <c r="D169" s="10"/>
      <c r="E169" s="11"/>
      <c r="F169" s="10"/>
      <c r="G169" s="10"/>
      <c r="H169" s="10"/>
      <c r="I169" s="10"/>
      <c r="J169" s="10"/>
      <c r="K169" s="12"/>
      <c r="L169" s="10"/>
      <c r="M169" s="10"/>
      <c r="N169" s="13"/>
      <c r="O169" s="10"/>
      <c r="P169" s="10"/>
      <c r="Q169" s="10"/>
      <c r="R169" s="18"/>
      <c r="S169" s="10"/>
      <c r="T169" s="10"/>
      <c r="U169" s="13"/>
      <c r="V169" s="13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3"/>
      <c r="AL169" s="14"/>
      <c r="AM169" s="15"/>
      <c r="AN169" s="15"/>
      <c r="AO169" s="13"/>
      <c r="AP169" s="13"/>
      <c r="AQ169" s="16"/>
      <c r="AR169" s="10"/>
      <c r="AS169" s="10"/>
      <c r="AT169" s="10"/>
      <c r="AU169" s="10"/>
      <c r="AV169" s="11"/>
      <c r="AW169" s="11"/>
      <c r="AX169" s="10"/>
      <c r="AY169" s="11"/>
      <c r="AZ169" s="11"/>
      <c r="BA169" s="11"/>
      <c r="BB169" s="10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7"/>
      <c r="CD169" s="17"/>
      <c r="CE169" s="11"/>
      <c r="CF169" s="13"/>
      <c r="CG169" s="13"/>
      <c r="CH169" s="13"/>
      <c r="CI169" s="13"/>
      <c r="CJ169" s="13"/>
    </row>
    <row r="170" spans="1:88" s="9" customFormat="1" x14ac:dyDescent="0.25">
      <c r="A170" s="10"/>
      <c r="B170" s="10"/>
      <c r="C170" s="10"/>
      <c r="D170" s="10"/>
      <c r="E170" s="11"/>
      <c r="F170" s="10"/>
      <c r="G170" s="10"/>
      <c r="H170" s="10"/>
      <c r="I170" s="10"/>
      <c r="J170" s="10"/>
      <c r="K170" s="12"/>
      <c r="L170" s="10"/>
      <c r="M170" s="10"/>
      <c r="N170" s="13"/>
      <c r="O170" s="10"/>
      <c r="P170" s="10"/>
      <c r="Q170" s="10"/>
      <c r="R170" s="18"/>
      <c r="S170" s="10"/>
      <c r="T170" s="10"/>
      <c r="U170" s="13"/>
      <c r="V170" s="13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3"/>
      <c r="AL170" s="14"/>
      <c r="AM170" s="15"/>
      <c r="AN170" s="15"/>
      <c r="AO170" s="13"/>
      <c r="AP170" s="13"/>
      <c r="AQ170" s="16"/>
      <c r="AR170" s="10"/>
      <c r="AS170" s="10"/>
      <c r="AT170" s="10"/>
      <c r="AU170" s="10"/>
      <c r="AV170" s="11"/>
      <c r="AW170" s="11"/>
      <c r="AX170" s="10"/>
      <c r="AY170" s="11"/>
      <c r="AZ170" s="11"/>
      <c r="BA170" s="11"/>
      <c r="BB170" s="10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7"/>
      <c r="CD170" s="17"/>
      <c r="CE170" s="11"/>
      <c r="CF170" s="13"/>
      <c r="CG170" s="13"/>
      <c r="CH170" s="13"/>
      <c r="CI170" s="13"/>
      <c r="CJ170" s="13"/>
    </row>
    <row r="171" spans="1:88" s="9" customFormat="1" x14ac:dyDescent="0.25">
      <c r="A171" s="10"/>
      <c r="B171" s="10"/>
      <c r="C171" s="10"/>
      <c r="D171" s="10"/>
      <c r="E171" s="11"/>
      <c r="F171" s="10"/>
      <c r="G171" s="10"/>
      <c r="H171" s="10"/>
      <c r="I171" s="10"/>
      <c r="J171" s="10"/>
      <c r="K171" s="12"/>
      <c r="L171" s="10"/>
      <c r="M171" s="10"/>
      <c r="N171" s="13"/>
      <c r="O171" s="10"/>
      <c r="P171" s="10"/>
      <c r="Q171" s="10"/>
      <c r="R171" s="18"/>
      <c r="S171" s="10"/>
      <c r="T171" s="10"/>
      <c r="U171" s="13"/>
      <c r="V171" s="13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3"/>
      <c r="AL171" s="14"/>
      <c r="AM171" s="15"/>
      <c r="AN171" s="15"/>
      <c r="AO171" s="13"/>
      <c r="AP171" s="13"/>
      <c r="AQ171" s="16"/>
      <c r="AR171" s="10"/>
      <c r="AS171" s="10"/>
      <c r="AT171" s="10"/>
      <c r="AU171" s="10"/>
      <c r="AV171" s="11"/>
      <c r="AW171" s="11"/>
      <c r="AX171" s="10"/>
      <c r="AY171" s="11"/>
      <c r="AZ171" s="11"/>
      <c r="BA171" s="11"/>
      <c r="BB171" s="10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7"/>
      <c r="CD171" s="17"/>
      <c r="CE171" s="11"/>
      <c r="CF171" s="13"/>
      <c r="CG171" s="13"/>
      <c r="CH171" s="13"/>
      <c r="CI171" s="13"/>
      <c r="CJ171" s="13"/>
    </row>
    <row r="172" spans="1:88" s="9" customFormat="1" x14ac:dyDescent="0.25">
      <c r="A172" s="10"/>
      <c r="B172" s="10"/>
      <c r="C172" s="10"/>
      <c r="D172" s="10"/>
      <c r="E172" s="11"/>
      <c r="F172" s="10"/>
      <c r="G172" s="10"/>
      <c r="H172" s="10"/>
      <c r="I172" s="10"/>
      <c r="J172" s="10"/>
      <c r="K172" s="12"/>
      <c r="L172" s="10"/>
      <c r="M172" s="10"/>
      <c r="N172" s="13"/>
      <c r="O172" s="10"/>
      <c r="P172" s="10"/>
      <c r="Q172" s="10"/>
      <c r="R172" s="18"/>
      <c r="S172" s="10"/>
      <c r="T172" s="10"/>
      <c r="U172" s="13"/>
      <c r="V172" s="13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3"/>
      <c r="AL172" s="14"/>
      <c r="AM172" s="15"/>
      <c r="AN172" s="15"/>
      <c r="AO172" s="13"/>
      <c r="AP172" s="13"/>
      <c r="AQ172" s="16"/>
      <c r="AR172" s="10"/>
      <c r="AS172" s="10"/>
      <c r="AT172" s="10"/>
      <c r="AU172" s="10"/>
      <c r="AV172" s="11"/>
      <c r="AW172" s="11"/>
      <c r="AX172" s="10"/>
      <c r="AY172" s="11"/>
      <c r="AZ172" s="11"/>
      <c r="BA172" s="11"/>
      <c r="BB172" s="10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7"/>
      <c r="CD172" s="17"/>
      <c r="CE172" s="11"/>
      <c r="CF172" s="13"/>
      <c r="CG172" s="13"/>
      <c r="CH172" s="13"/>
      <c r="CI172" s="13"/>
      <c r="CJ172" s="13"/>
    </row>
    <row r="173" spans="1:88" s="9" customFormat="1" x14ac:dyDescent="0.25">
      <c r="A173" s="10"/>
      <c r="B173" s="10"/>
      <c r="C173" s="10"/>
      <c r="D173" s="10"/>
      <c r="E173" s="11"/>
      <c r="F173" s="10"/>
      <c r="G173" s="10"/>
      <c r="H173" s="10"/>
      <c r="I173" s="10"/>
      <c r="J173" s="10"/>
      <c r="K173" s="12"/>
      <c r="L173" s="10"/>
      <c r="M173" s="10"/>
      <c r="N173" s="13"/>
      <c r="O173" s="10"/>
      <c r="P173" s="10"/>
      <c r="Q173" s="10"/>
      <c r="R173" s="18"/>
      <c r="S173" s="10"/>
      <c r="T173" s="10"/>
      <c r="U173" s="13"/>
      <c r="V173" s="13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3"/>
      <c r="AL173" s="14"/>
      <c r="AM173" s="15"/>
      <c r="AN173" s="15"/>
      <c r="AO173" s="13"/>
      <c r="AP173" s="13"/>
      <c r="AQ173" s="16"/>
      <c r="AR173" s="10"/>
      <c r="AS173" s="10"/>
      <c r="AT173" s="10"/>
      <c r="AU173" s="10"/>
      <c r="AV173" s="11"/>
      <c r="AW173" s="11"/>
      <c r="AX173" s="10"/>
      <c r="AY173" s="11"/>
      <c r="AZ173" s="11"/>
      <c r="BA173" s="11"/>
      <c r="BB173" s="10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7"/>
      <c r="CD173" s="17"/>
      <c r="CE173" s="11"/>
      <c r="CF173" s="13"/>
      <c r="CG173" s="13"/>
      <c r="CH173" s="13"/>
      <c r="CI173" s="13"/>
      <c r="CJ173" s="13"/>
    </row>
    <row r="174" spans="1:88" s="9" customFormat="1" x14ac:dyDescent="0.25">
      <c r="A174" s="10"/>
      <c r="B174" s="10"/>
      <c r="C174" s="10"/>
      <c r="D174" s="10"/>
      <c r="E174" s="11"/>
      <c r="F174" s="10"/>
      <c r="G174" s="10"/>
      <c r="H174" s="10"/>
      <c r="I174" s="10"/>
      <c r="J174" s="10"/>
      <c r="K174" s="12"/>
      <c r="L174" s="10"/>
      <c r="M174" s="10"/>
      <c r="N174" s="13"/>
      <c r="O174" s="10"/>
      <c r="P174" s="10"/>
      <c r="Q174" s="10"/>
      <c r="R174" s="18"/>
      <c r="S174" s="10"/>
      <c r="T174" s="10"/>
      <c r="U174" s="13"/>
      <c r="V174" s="13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3"/>
      <c r="AL174" s="14"/>
      <c r="AM174" s="15"/>
      <c r="AN174" s="15"/>
      <c r="AO174" s="13"/>
      <c r="AP174" s="13"/>
      <c r="AQ174" s="16"/>
      <c r="AR174" s="10"/>
      <c r="AS174" s="10"/>
      <c r="AT174" s="10"/>
      <c r="AU174" s="10"/>
      <c r="AV174" s="11"/>
      <c r="AW174" s="11"/>
      <c r="AX174" s="10"/>
      <c r="AY174" s="11"/>
      <c r="AZ174" s="11"/>
      <c r="BA174" s="11"/>
      <c r="BB174" s="10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7"/>
      <c r="CD174" s="17"/>
      <c r="CE174" s="11"/>
      <c r="CF174" s="13"/>
      <c r="CG174" s="13"/>
      <c r="CH174" s="13"/>
      <c r="CI174" s="13"/>
      <c r="CJ174" s="13"/>
    </row>
    <row r="175" spans="1:88" s="9" customFormat="1" x14ac:dyDescent="0.25">
      <c r="A175" s="10"/>
      <c r="B175" s="10"/>
      <c r="C175" s="10"/>
      <c r="D175" s="10"/>
      <c r="E175" s="11"/>
      <c r="F175" s="10"/>
      <c r="G175" s="10"/>
      <c r="H175" s="10"/>
      <c r="I175" s="10"/>
      <c r="J175" s="10"/>
      <c r="K175" s="12"/>
      <c r="L175" s="10"/>
      <c r="M175" s="10"/>
      <c r="N175" s="13"/>
      <c r="O175" s="10"/>
      <c r="P175" s="10"/>
      <c r="Q175" s="10"/>
      <c r="R175" s="18"/>
      <c r="S175" s="10"/>
      <c r="T175" s="10"/>
      <c r="U175" s="13"/>
      <c r="V175" s="13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3"/>
      <c r="AL175" s="14"/>
      <c r="AM175" s="15"/>
      <c r="AN175" s="15"/>
      <c r="AO175" s="13"/>
      <c r="AP175" s="13"/>
      <c r="AQ175" s="16"/>
      <c r="AR175" s="10"/>
      <c r="AS175" s="10"/>
      <c r="AT175" s="10"/>
      <c r="AU175" s="10"/>
      <c r="AV175" s="11"/>
      <c r="AW175" s="11"/>
      <c r="AX175" s="10"/>
      <c r="AY175" s="11"/>
      <c r="AZ175" s="11"/>
      <c r="BA175" s="11"/>
      <c r="BB175" s="10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7"/>
      <c r="CD175" s="17"/>
      <c r="CE175" s="11"/>
      <c r="CF175" s="13"/>
      <c r="CG175" s="13"/>
      <c r="CH175" s="13"/>
      <c r="CI175" s="13"/>
      <c r="CJ175" s="13"/>
    </row>
    <row r="176" spans="1:88" s="9" customFormat="1" x14ac:dyDescent="0.25">
      <c r="A176" s="10"/>
      <c r="B176" s="10"/>
      <c r="C176" s="10"/>
      <c r="D176" s="10"/>
      <c r="E176" s="11"/>
      <c r="F176" s="10"/>
      <c r="G176" s="10"/>
      <c r="H176" s="10"/>
      <c r="I176" s="10"/>
      <c r="J176" s="10"/>
      <c r="K176" s="12"/>
      <c r="L176" s="10"/>
      <c r="M176" s="10"/>
      <c r="N176" s="13"/>
      <c r="O176" s="10"/>
      <c r="P176" s="10"/>
      <c r="Q176" s="10"/>
      <c r="R176" s="18"/>
      <c r="S176" s="10"/>
      <c r="T176" s="10"/>
      <c r="U176" s="13"/>
      <c r="V176" s="13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3"/>
      <c r="AL176" s="14"/>
      <c r="AM176" s="15"/>
      <c r="AN176" s="15"/>
      <c r="AO176" s="13"/>
      <c r="AP176" s="13"/>
      <c r="AQ176" s="16"/>
      <c r="AR176" s="10"/>
      <c r="AS176" s="10"/>
      <c r="AT176" s="10"/>
      <c r="AU176" s="10"/>
      <c r="AV176" s="11"/>
      <c r="AW176" s="11"/>
      <c r="AX176" s="10"/>
      <c r="AY176" s="11"/>
      <c r="AZ176" s="11"/>
      <c r="BA176" s="11"/>
      <c r="BB176" s="10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7"/>
      <c r="CD176" s="17"/>
      <c r="CE176" s="11"/>
      <c r="CF176" s="13"/>
      <c r="CG176" s="13"/>
      <c r="CH176" s="13"/>
      <c r="CI176" s="13"/>
      <c r="CJ176" s="13"/>
    </row>
    <row r="177" spans="1:88" s="9" customFormat="1" x14ac:dyDescent="0.25">
      <c r="A177" s="10"/>
      <c r="B177" s="10"/>
      <c r="C177" s="10"/>
      <c r="D177" s="10"/>
      <c r="E177" s="11"/>
      <c r="F177" s="10"/>
      <c r="G177" s="10"/>
      <c r="H177" s="10"/>
      <c r="I177" s="10"/>
      <c r="J177" s="10"/>
      <c r="K177" s="12"/>
      <c r="L177" s="10"/>
      <c r="M177" s="10"/>
      <c r="N177" s="13"/>
      <c r="O177" s="10"/>
      <c r="P177" s="10"/>
      <c r="Q177" s="10"/>
      <c r="R177" s="18"/>
      <c r="S177" s="10"/>
      <c r="T177" s="10"/>
      <c r="U177" s="13"/>
      <c r="V177" s="13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3"/>
      <c r="AL177" s="14"/>
      <c r="AM177" s="15"/>
      <c r="AN177" s="15"/>
      <c r="AO177" s="13"/>
      <c r="AP177" s="13"/>
      <c r="AQ177" s="16"/>
      <c r="AR177" s="10"/>
      <c r="AS177" s="10"/>
      <c r="AT177" s="10"/>
      <c r="AU177" s="10"/>
      <c r="AV177" s="11"/>
      <c r="AW177" s="11"/>
      <c r="AX177" s="10"/>
      <c r="AY177" s="11"/>
      <c r="AZ177" s="11"/>
      <c r="BA177" s="11"/>
      <c r="BB177" s="10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7"/>
      <c r="CD177" s="17"/>
      <c r="CE177" s="11"/>
      <c r="CF177" s="13"/>
      <c r="CG177" s="13"/>
      <c r="CH177" s="13"/>
      <c r="CI177" s="13"/>
      <c r="CJ177" s="13"/>
    </row>
    <row r="178" spans="1:88" s="9" customFormat="1" x14ac:dyDescent="0.25">
      <c r="A178" s="10"/>
      <c r="B178" s="10"/>
      <c r="C178" s="10"/>
      <c r="D178" s="10"/>
      <c r="E178" s="11"/>
      <c r="F178" s="10"/>
      <c r="G178" s="10"/>
      <c r="H178" s="10"/>
      <c r="I178" s="10"/>
      <c r="J178" s="10"/>
      <c r="K178" s="12"/>
      <c r="L178" s="10"/>
      <c r="M178" s="10"/>
      <c r="N178" s="13"/>
      <c r="O178" s="10"/>
      <c r="P178" s="10"/>
      <c r="Q178" s="10"/>
      <c r="R178" s="18"/>
      <c r="S178" s="10"/>
      <c r="T178" s="10"/>
      <c r="U178" s="13"/>
      <c r="V178" s="13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3"/>
      <c r="AL178" s="14"/>
      <c r="AM178" s="15"/>
      <c r="AN178" s="15"/>
      <c r="AO178" s="13"/>
      <c r="AP178" s="13"/>
      <c r="AQ178" s="16"/>
      <c r="AR178" s="10"/>
      <c r="AS178" s="10"/>
      <c r="AT178" s="10"/>
      <c r="AU178" s="10"/>
      <c r="AV178" s="11"/>
      <c r="AW178" s="11"/>
      <c r="AX178" s="10"/>
      <c r="AY178" s="11"/>
      <c r="AZ178" s="11"/>
      <c r="BA178" s="11"/>
      <c r="BB178" s="10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7"/>
      <c r="CD178" s="17"/>
      <c r="CE178" s="11"/>
      <c r="CF178" s="13"/>
      <c r="CG178" s="13"/>
      <c r="CH178" s="13"/>
      <c r="CI178" s="13"/>
      <c r="CJ178" s="13"/>
    </row>
    <row r="179" spans="1:88" s="9" customFormat="1" x14ac:dyDescent="0.25">
      <c r="A179" s="10"/>
      <c r="B179" s="10"/>
      <c r="C179" s="10"/>
      <c r="D179" s="10"/>
      <c r="E179" s="11"/>
      <c r="F179" s="10"/>
      <c r="G179" s="10"/>
      <c r="H179" s="10"/>
      <c r="I179" s="10"/>
      <c r="J179" s="10"/>
      <c r="K179" s="12"/>
      <c r="L179" s="10"/>
      <c r="M179" s="10"/>
      <c r="N179" s="13"/>
      <c r="O179" s="10"/>
      <c r="P179" s="10"/>
      <c r="Q179" s="10"/>
      <c r="R179" s="18"/>
      <c r="S179" s="10"/>
      <c r="T179" s="10"/>
      <c r="U179" s="13"/>
      <c r="V179" s="13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3"/>
      <c r="AL179" s="14"/>
      <c r="AM179" s="15"/>
      <c r="AN179" s="15"/>
      <c r="AO179" s="13"/>
      <c r="AP179" s="13"/>
      <c r="AQ179" s="16"/>
      <c r="AR179" s="10"/>
      <c r="AS179" s="10"/>
      <c r="AT179" s="10"/>
      <c r="AU179" s="10"/>
      <c r="AV179" s="11"/>
      <c r="AW179" s="11"/>
      <c r="AX179" s="10"/>
      <c r="AY179" s="11"/>
      <c r="AZ179" s="11"/>
      <c r="BA179" s="11"/>
      <c r="BB179" s="10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7"/>
      <c r="CD179" s="17"/>
      <c r="CE179" s="11"/>
      <c r="CF179" s="13"/>
      <c r="CG179" s="13"/>
      <c r="CH179" s="13"/>
      <c r="CI179" s="13"/>
      <c r="CJ179" s="13"/>
    </row>
    <row r="180" spans="1:88" s="9" customFormat="1" x14ac:dyDescent="0.25">
      <c r="A180" s="10"/>
      <c r="B180" s="10"/>
      <c r="C180" s="10"/>
      <c r="D180" s="10"/>
      <c r="E180" s="11"/>
      <c r="F180" s="10"/>
      <c r="G180" s="10"/>
      <c r="H180" s="10"/>
      <c r="I180" s="10"/>
      <c r="J180" s="10"/>
      <c r="K180" s="12"/>
      <c r="L180" s="10"/>
      <c r="M180" s="10"/>
      <c r="N180" s="13"/>
      <c r="O180" s="10"/>
      <c r="P180" s="10"/>
      <c r="Q180" s="10"/>
      <c r="R180" s="18"/>
      <c r="S180" s="10"/>
      <c r="T180" s="10"/>
      <c r="U180" s="13"/>
      <c r="V180" s="13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3"/>
      <c r="AL180" s="14"/>
      <c r="AM180" s="15"/>
      <c r="AN180" s="15"/>
      <c r="AO180" s="13"/>
      <c r="AP180" s="13"/>
      <c r="AQ180" s="16"/>
      <c r="AR180" s="10"/>
      <c r="AS180" s="10"/>
      <c r="AT180" s="10"/>
      <c r="AU180" s="10"/>
      <c r="AV180" s="11"/>
      <c r="AW180" s="11"/>
      <c r="AX180" s="10"/>
      <c r="AY180" s="11"/>
      <c r="AZ180" s="11"/>
      <c r="BA180" s="11"/>
      <c r="BB180" s="10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7"/>
      <c r="CD180" s="17"/>
      <c r="CE180" s="11"/>
      <c r="CF180" s="13"/>
      <c r="CG180" s="13"/>
      <c r="CH180" s="13"/>
      <c r="CI180" s="13"/>
      <c r="CJ180" s="13"/>
    </row>
    <row r="181" spans="1:88" s="9" customFormat="1" x14ac:dyDescent="0.25">
      <c r="A181" s="10"/>
      <c r="B181" s="10"/>
      <c r="C181" s="10"/>
      <c r="D181" s="10"/>
      <c r="E181" s="11"/>
      <c r="F181" s="10"/>
      <c r="G181" s="10"/>
      <c r="H181" s="10"/>
      <c r="I181" s="10"/>
      <c r="J181" s="10"/>
      <c r="K181" s="12"/>
      <c r="L181" s="10"/>
      <c r="M181" s="10"/>
      <c r="N181" s="13"/>
      <c r="O181" s="10"/>
      <c r="P181" s="10"/>
      <c r="Q181" s="10"/>
      <c r="R181" s="18"/>
      <c r="S181" s="10"/>
      <c r="T181" s="10"/>
      <c r="U181" s="13"/>
      <c r="V181" s="13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3"/>
      <c r="AL181" s="14"/>
      <c r="AM181" s="15"/>
      <c r="AN181" s="15"/>
      <c r="AO181" s="13"/>
      <c r="AP181" s="13"/>
      <c r="AQ181" s="16"/>
      <c r="AR181" s="10"/>
      <c r="AS181" s="10"/>
      <c r="AT181" s="10"/>
      <c r="AU181" s="10"/>
      <c r="AV181" s="11"/>
      <c r="AW181" s="11"/>
      <c r="AX181" s="10"/>
      <c r="AY181" s="11"/>
      <c r="AZ181" s="11"/>
      <c r="BA181" s="11"/>
      <c r="BB181" s="10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7"/>
      <c r="CD181" s="17"/>
      <c r="CE181" s="11"/>
      <c r="CF181" s="13"/>
      <c r="CG181" s="13"/>
      <c r="CH181" s="13"/>
      <c r="CI181" s="13"/>
      <c r="CJ181" s="13"/>
    </row>
    <row r="182" spans="1:88" s="9" customFormat="1" x14ac:dyDescent="0.25">
      <c r="A182" s="10"/>
      <c r="B182" s="10"/>
      <c r="C182" s="10"/>
      <c r="D182" s="10"/>
      <c r="E182" s="11"/>
      <c r="F182" s="10"/>
      <c r="G182" s="10"/>
      <c r="H182" s="10"/>
      <c r="I182" s="10"/>
      <c r="J182" s="10"/>
      <c r="K182" s="12"/>
      <c r="L182" s="10"/>
      <c r="M182" s="10"/>
      <c r="N182" s="13"/>
      <c r="O182" s="10"/>
      <c r="P182" s="10"/>
      <c r="Q182" s="10"/>
      <c r="R182" s="18"/>
      <c r="S182" s="10"/>
      <c r="T182" s="10"/>
      <c r="U182" s="13"/>
      <c r="V182" s="13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3"/>
      <c r="AL182" s="14"/>
      <c r="AM182" s="15"/>
      <c r="AN182" s="15"/>
      <c r="AO182" s="13"/>
      <c r="AP182" s="13"/>
      <c r="AQ182" s="16"/>
      <c r="AR182" s="10"/>
      <c r="AS182" s="10"/>
      <c r="AT182" s="10"/>
      <c r="AU182" s="10"/>
      <c r="AV182" s="11"/>
      <c r="AW182" s="11"/>
      <c r="AX182" s="10"/>
      <c r="AY182" s="11"/>
      <c r="AZ182" s="11"/>
      <c r="BA182" s="11"/>
      <c r="BB182" s="10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7"/>
      <c r="CD182" s="17"/>
      <c r="CE182" s="11"/>
      <c r="CF182" s="13"/>
      <c r="CG182" s="13"/>
      <c r="CH182" s="13"/>
      <c r="CI182" s="13"/>
      <c r="CJ182" s="13"/>
    </row>
    <row r="183" spans="1:88" s="9" customFormat="1" x14ac:dyDescent="0.25">
      <c r="A183" s="10"/>
      <c r="B183" s="10"/>
      <c r="C183" s="10"/>
      <c r="D183" s="10"/>
      <c r="E183" s="11"/>
      <c r="F183" s="10"/>
      <c r="G183" s="10"/>
      <c r="H183" s="10"/>
      <c r="I183" s="10"/>
      <c r="J183" s="10"/>
      <c r="K183" s="12"/>
      <c r="L183" s="10"/>
      <c r="M183" s="10"/>
      <c r="N183" s="13"/>
      <c r="O183" s="10"/>
      <c r="P183" s="10"/>
      <c r="Q183" s="10"/>
      <c r="R183" s="18"/>
      <c r="S183" s="10"/>
      <c r="T183" s="10"/>
      <c r="U183" s="13"/>
      <c r="V183" s="13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3"/>
      <c r="AL183" s="14"/>
      <c r="AM183" s="15"/>
      <c r="AN183" s="15"/>
      <c r="AO183" s="13"/>
      <c r="AP183" s="13"/>
      <c r="AQ183" s="16"/>
      <c r="AR183" s="10"/>
      <c r="AS183" s="10"/>
      <c r="AT183" s="10"/>
      <c r="AU183" s="10"/>
      <c r="AV183" s="11"/>
      <c r="AW183" s="11"/>
      <c r="AX183" s="10"/>
      <c r="AY183" s="11"/>
      <c r="AZ183" s="11"/>
      <c r="BA183" s="11"/>
      <c r="BB183" s="10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7"/>
      <c r="CD183" s="17"/>
      <c r="CE183" s="11"/>
      <c r="CF183" s="13"/>
      <c r="CG183" s="13"/>
      <c r="CH183" s="13"/>
      <c r="CI183" s="13"/>
      <c r="CJ183" s="13"/>
    </row>
    <row r="184" spans="1:88" s="9" customFormat="1" x14ac:dyDescent="0.25">
      <c r="A184" s="10"/>
      <c r="B184" s="10"/>
      <c r="C184" s="10"/>
      <c r="D184" s="10"/>
      <c r="E184" s="11"/>
      <c r="F184" s="10"/>
      <c r="G184" s="10"/>
      <c r="H184" s="10"/>
      <c r="I184" s="10"/>
      <c r="J184" s="10"/>
      <c r="K184" s="12"/>
      <c r="L184" s="10"/>
      <c r="M184" s="10"/>
      <c r="N184" s="13"/>
      <c r="O184" s="10"/>
      <c r="P184" s="10"/>
      <c r="Q184" s="10"/>
      <c r="R184" s="18"/>
      <c r="S184" s="10"/>
      <c r="T184" s="10"/>
      <c r="U184" s="13"/>
      <c r="V184" s="13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3"/>
      <c r="AL184" s="14"/>
      <c r="AM184" s="15"/>
      <c r="AN184" s="15"/>
      <c r="AO184" s="13"/>
      <c r="AP184" s="13"/>
      <c r="AQ184" s="16"/>
      <c r="AR184" s="10"/>
      <c r="AS184" s="10"/>
      <c r="AT184" s="10"/>
      <c r="AU184" s="10"/>
      <c r="AV184" s="11"/>
      <c r="AW184" s="11"/>
      <c r="AX184" s="10"/>
      <c r="AY184" s="11"/>
      <c r="AZ184" s="11"/>
      <c r="BA184" s="11"/>
      <c r="BB184" s="10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7"/>
      <c r="CD184" s="17"/>
      <c r="CE184" s="11"/>
      <c r="CF184" s="13"/>
      <c r="CG184" s="13"/>
      <c r="CH184" s="13"/>
      <c r="CI184" s="13"/>
      <c r="CJ184" s="13"/>
    </row>
    <row r="185" spans="1:88" s="9" customFormat="1" x14ac:dyDescent="0.25">
      <c r="A185" s="10"/>
      <c r="B185" s="10"/>
      <c r="C185" s="10"/>
      <c r="D185" s="10"/>
      <c r="E185" s="11"/>
      <c r="F185" s="10"/>
      <c r="G185" s="10"/>
      <c r="H185" s="10"/>
      <c r="I185" s="10"/>
      <c r="J185" s="10"/>
      <c r="K185" s="12"/>
      <c r="L185" s="10"/>
      <c r="M185" s="10"/>
      <c r="N185" s="13"/>
      <c r="O185" s="10"/>
      <c r="P185" s="10"/>
      <c r="Q185" s="10"/>
      <c r="R185" s="18"/>
      <c r="S185" s="10"/>
      <c r="T185" s="10"/>
      <c r="U185" s="13"/>
      <c r="V185" s="13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3"/>
      <c r="AL185" s="14"/>
      <c r="AM185" s="15"/>
      <c r="AN185" s="15"/>
      <c r="AO185" s="13"/>
      <c r="AP185" s="13"/>
      <c r="AQ185" s="16"/>
      <c r="AR185" s="10"/>
      <c r="AS185" s="10"/>
      <c r="AT185" s="10"/>
      <c r="AU185" s="10"/>
      <c r="AV185" s="11"/>
      <c r="AW185" s="11"/>
      <c r="AX185" s="10"/>
      <c r="AY185" s="11"/>
      <c r="AZ185" s="11"/>
      <c r="BA185" s="11"/>
      <c r="BB185" s="10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7"/>
      <c r="CD185" s="17"/>
      <c r="CE185" s="11"/>
      <c r="CF185" s="13"/>
      <c r="CG185" s="13"/>
      <c r="CH185" s="13"/>
      <c r="CI185" s="13"/>
      <c r="CJ185" s="13"/>
    </row>
    <row r="186" spans="1:88" s="9" customFormat="1" x14ac:dyDescent="0.25">
      <c r="A186" s="10"/>
      <c r="B186" s="10"/>
      <c r="C186" s="10"/>
      <c r="D186" s="10"/>
      <c r="E186" s="11"/>
      <c r="F186" s="10"/>
      <c r="G186" s="10"/>
      <c r="H186" s="10"/>
      <c r="I186" s="10"/>
      <c r="J186" s="10"/>
      <c r="K186" s="12"/>
      <c r="L186" s="10"/>
      <c r="M186" s="10"/>
      <c r="N186" s="13"/>
      <c r="O186" s="10"/>
      <c r="P186" s="10"/>
      <c r="Q186" s="10"/>
      <c r="R186" s="18"/>
      <c r="S186" s="10"/>
      <c r="T186" s="10"/>
      <c r="U186" s="13"/>
      <c r="V186" s="13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3"/>
      <c r="AL186" s="14"/>
      <c r="AM186" s="15"/>
      <c r="AN186" s="15"/>
      <c r="AO186" s="13"/>
      <c r="AP186" s="13"/>
      <c r="AQ186" s="16"/>
      <c r="AR186" s="10"/>
      <c r="AS186" s="10"/>
      <c r="AT186" s="10"/>
      <c r="AU186" s="10"/>
      <c r="AV186" s="11"/>
      <c r="AW186" s="11"/>
      <c r="AX186" s="10"/>
      <c r="AY186" s="11"/>
      <c r="AZ186" s="11"/>
      <c r="BA186" s="11"/>
      <c r="BB186" s="10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7"/>
      <c r="CD186" s="17"/>
      <c r="CE186" s="11"/>
      <c r="CF186" s="13"/>
      <c r="CG186" s="13"/>
      <c r="CH186" s="13"/>
      <c r="CI186" s="13"/>
      <c r="CJ186" s="13"/>
    </row>
    <row r="187" spans="1:88" s="9" customFormat="1" x14ac:dyDescent="0.25">
      <c r="A187" s="10"/>
      <c r="B187" s="10"/>
      <c r="C187" s="10"/>
      <c r="D187" s="10"/>
      <c r="E187" s="11"/>
      <c r="F187" s="10"/>
      <c r="G187" s="10"/>
      <c r="H187" s="10"/>
      <c r="I187" s="10"/>
      <c r="J187" s="10"/>
      <c r="K187" s="12"/>
      <c r="L187" s="10"/>
      <c r="M187" s="10"/>
      <c r="N187" s="13"/>
      <c r="O187" s="10"/>
      <c r="P187" s="10"/>
      <c r="Q187" s="10"/>
      <c r="R187" s="18"/>
      <c r="S187" s="10"/>
      <c r="T187" s="10"/>
      <c r="U187" s="13"/>
      <c r="V187" s="13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3"/>
      <c r="AL187" s="14"/>
      <c r="AM187" s="15"/>
      <c r="AN187" s="15"/>
      <c r="AO187" s="13"/>
      <c r="AP187" s="13"/>
      <c r="AQ187" s="16"/>
      <c r="AR187" s="10"/>
      <c r="AS187" s="10"/>
      <c r="AT187" s="10"/>
      <c r="AU187" s="10"/>
      <c r="AV187" s="11"/>
      <c r="AW187" s="11"/>
      <c r="AX187" s="10"/>
      <c r="AY187" s="11"/>
      <c r="AZ187" s="11"/>
      <c r="BA187" s="11"/>
      <c r="BB187" s="10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7"/>
      <c r="CD187" s="17"/>
      <c r="CE187" s="11"/>
      <c r="CF187" s="13"/>
      <c r="CG187" s="13"/>
      <c r="CH187" s="13"/>
      <c r="CI187" s="13"/>
      <c r="CJ187" s="13"/>
    </row>
    <row r="188" spans="1:88" s="9" customFormat="1" x14ac:dyDescent="0.25">
      <c r="A188" s="10"/>
      <c r="B188" s="10"/>
      <c r="C188" s="10"/>
      <c r="D188" s="10"/>
      <c r="E188" s="11"/>
      <c r="F188" s="10"/>
      <c r="G188" s="10"/>
      <c r="H188" s="10"/>
      <c r="I188" s="10"/>
      <c r="J188" s="10"/>
      <c r="K188" s="12"/>
      <c r="L188" s="10"/>
      <c r="M188" s="10"/>
      <c r="N188" s="13"/>
      <c r="O188" s="10"/>
      <c r="P188" s="10"/>
      <c r="Q188" s="10"/>
      <c r="R188" s="18"/>
      <c r="S188" s="10"/>
      <c r="T188" s="10"/>
      <c r="U188" s="13"/>
      <c r="V188" s="13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3"/>
      <c r="AL188" s="14"/>
      <c r="AM188" s="15"/>
      <c r="AN188" s="15"/>
      <c r="AO188" s="13"/>
      <c r="AP188" s="13"/>
      <c r="AQ188" s="16"/>
      <c r="AR188" s="10"/>
      <c r="AS188" s="10"/>
      <c r="AT188" s="10"/>
      <c r="AU188" s="10"/>
      <c r="AV188" s="11"/>
      <c r="AW188" s="11"/>
      <c r="AX188" s="10"/>
      <c r="AY188" s="11"/>
      <c r="AZ188" s="11"/>
      <c r="BA188" s="11"/>
      <c r="BB188" s="10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7"/>
      <c r="CD188" s="17"/>
      <c r="CE188" s="11"/>
      <c r="CF188" s="13"/>
      <c r="CG188" s="13"/>
      <c r="CH188" s="13"/>
      <c r="CI188" s="13"/>
      <c r="CJ188" s="13"/>
    </row>
    <row r="189" spans="1:88" s="9" customFormat="1" x14ac:dyDescent="0.25">
      <c r="A189" s="10"/>
      <c r="B189" s="10"/>
      <c r="C189" s="10"/>
      <c r="D189" s="10"/>
      <c r="E189" s="11"/>
      <c r="F189" s="10"/>
      <c r="G189" s="10"/>
      <c r="H189" s="10"/>
      <c r="I189" s="10"/>
      <c r="J189" s="10"/>
      <c r="K189" s="12"/>
      <c r="L189" s="10"/>
      <c r="M189" s="10"/>
      <c r="N189" s="13"/>
      <c r="O189" s="10"/>
      <c r="P189" s="10"/>
      <c r="Q189" s="10"/>
      <c r="R189" s="18"/>
      <c r="S189" s="10"/>
      <c r="T189" s="10"/>
      <c r="U189" s="13"/>
      <c r="V189" s="13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3"/>
      <c r="AL189" s="14"/>
      <c r="AM189" s="15"/>
      <c r="AN189" s="15"/>
      <c r="AO189" s="13"/>
      <c r="AP189" s="13"/>
      <c r="AQ189" s="16"/>
      <c r="AR189" s="10"/>
      <c r="AS189" s="10"/>
      <c r="AT189" s="10"/>
      <c r="AU189" s="10"/>
      <c r="AV189" s="11"/>
      <c r="AW189" s="11"/>
      <c r="AX189" s="10"/>
      <c r="AY189" s="11"/>
      <c r="AZ189" s="11"/>
      <c r="BA189" s="11"/>
      <c r="BB189" s="10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7"/>
      <c r="CD189" s="17"/>
      <c r="CE189" s="11"/>
      <c r="CF189" s="13"/>
      <c r="CG189" s="13"/>
      <c r="CH189" s="13"/>
      <c r="CI189" s="13"/>
      <c r="CJ189" s="13"/>
    </row>
    <row r="190" spans="1:88" s="9" customFormat="1" x14ac:dyDescent="0.25">
      <c r="A190" s="10"/>
      <c r="B190" s="10"/>
      <c r="C190" s="10"/>
      <c r="D190" s="10"/>
      <c r="E190" s="11"/>
      <c r="F190" s="10"/>
      <c r="G190" s="10"/>
      <c r="H190" s="10"/>
      <c r="I190" s="10"/>
      <c r="J190" s="10"/>
      <c r="K190" s="12"/>
      <c r="L190" s="10"/>
      <c r="M190" s="10"/>
      <c r="N190" s="13"/>
      <c r="O190" s="10"/>
      <c r="P190" s="10"/>
      <c r="Q190" s="10"/>
      <c r="R190" s="18"/>
      <c r="S190" s="10"/>
      <c r="T190" s="10"/>
      <c r="U190" s="13"/>
      <c r="V190" s="13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3"/>
      <c r="AL190" s="14"/>
      <c r="AM190" s="15"/>
      <c r="AN190" s="15"/>
      <c r="AO190" s="13"/>
      <c r="AP190" s="13"/>
      <c r="AQ190" s="16"/>
      <c r="AR190" s="10"/>
      <c r="AS190" s="10"/>
      <c r="AT190" s="10"/>
      <c r="AU190" s="10"/>
      <c r="AV190" s="11"/>
      <c r="AW190" s="11"/>
      <c r="AX190" s="10"/>
      <c r="AY190" s="11"/>
      <c r="AZ190" s="11"/>
      <c r="BA190" s="11"/>
      <c r="BB190" s="10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7"/>
      <c r="CD190" s="17"/>
      <c r="CE190" s="11"/>
      <c r="CF190" s="13"/>
      <c r="CG190" s="13"/>
      <c r="CH190" s="13"/>
      <c r="CI190" s="13"/>
      <c r="CJ190" s="13"/>
    </row>
    <row r="191" spans="1:88" s="9" customFormat="1" x14ac:dyDescent="0.25">
      <c r="A191" s="10"/>
      <c r="B191" s="10"/>
      <c r="C191" s="10"/>
      <c r="D191" s="10"/>
      <c r="E191" s="11"/>
      <c r="F191" s="10"/>
      <c r="G191" s="10"/>
      <c r="H191" s="10"/>
      <c r="I191" s="10"/>
      <c r="J191" s="10"/>
      <c r="K191" s="12"/>
      <c r="L191" s="10"/>
      <c r="M191" s="10"/>
      <c r="N191" s="13"/>
      <c r="O191" s="10"/>
      <c r="P191" s="10"/>
      <c r="Q191" s="10"/>
      <c r="R191" s="18"/>
      <c r="S191" s="10"/>
      <c r="T191" s="10"/>
      <c r="U191" s="13"/>
      <c r="V191" s="13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3"/>
      <c r="AL191" s="14"/>
      <c r="AM191" s="15"/>
      <c r="AN191" s="15"/>
      <c r="AO191" s="13"/>
      <c r="AP191" s="13"/>
      <c r="AQ191" s="16"/>
      <c r="AR191" s="10"/>
      <c r="AS191" s="10"/>
      <c r="AT191" s="10"/>
      <c r="AU191" s="10"/>
      <c r="AV191" s="11"/>
      <c r="AW191" s="11"/>
      <c r="AX191" s="10"/>
      <c r="AY191" s="11"/>
      <c r="AZ191" s="11"/>
      <c r="BA191" s="11"/>
      <c r="BB191" s="10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7"/>
      <c r="CD191" s="17"/>
      <c r="CE191" s="11"/>
      <c r="CF191" s="13"/>
      <c r="CG191" s="13"/>
      <c r="CH191" s="13"/>
      <c r="CI191" s="13"/>
      <c r="CJ191" s="13"/>
    </row>
    <row r="192" spans="1:88" s="9" customFormat="1" x14ac:dyDescent="0.25">
      <c r="A192" s="10"/>
      <c r="B192" s="10"/>
      <c r="C192" s="10"/>
      <c r="D192" s="10"/>
      <c r="E192" s="11"/>
      <c r="F192" s="10"/>
      <c r="G192" s="10"/>
      <c r="H192" s="10"/>
      <c r="I192" s="10"/>
      <c r="J192" s="10"/>
      <c r="K192" s="12"/>
      <c r="L192" s="10"/>
      <c r="M192" s="10"/>
      <c r="N192" s="13"/>
      <c r="O192" s="10"/>
      <c r="P192" s="10"/>
      <c r="Q192" s="10"/>
      <c r="R192" s="18"/>
      <c r="S192" s="10"/>
      <c r="T192" s="10"/>
      <c r="U192" s="13"/>
      <c r="V192" s="13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3"/>
      <c r="AL192" s="14"/>
      <c r="AM192" s="15"/>
      <c r="AN192" s="15"/>
      <c r="AO192" s="13"/>
      <c r="AP192" s="13"/>
      <c r="AQ192" s="16"/>
      <c r="AR192" s="10"/>
      <c r="AS192" s="10"/>
      <c r="AT192" s="10"/>
      <c r="AU192" s="10"/>
      <c r="AV192" s="11"/>
      <c r="AW192" s="11"/>
      <c r="AX192" s="10"/>
      <c r="AY192" s="11"/>
      <c r="AZ192" s="11"/>
      <c r="BA192" s="11"/>
      <c r="BB192" s="10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7"/>
      <c r="CD192" s="17"/>
      <c r="CE192" s="11"/>
      <c r="CF192" s="13"/>
      <c r="CG192" s="13"/>
      <c r="CH192" s="13"/>
      <c r="CI192" s="13"/>
      <c r="CJ192" s="13"/>
    </row>
    <row r="193" spans="1:88" s="9" customFormat="1" x14ac:dyDescent="0.25">
      <c r="A193" s="10"/>
      <c r="B193" s="10"/>
      <c r="C193" s="10"/>
      <c r="D193" s="10"/>
      <c r="E193" s="11"/>
      <c r="F193" s="10"/>
      <c r="G193" s="10"/>
      <c r="H193" s="10"/>
      <c r="I193" s="10"/>
      <c r="J193" s="10"/>
      <c r="K193" s="12"/>
      <c r="L193" s="10"/>
      <c r="M193" s="10"/>
      <c r="N193" s="13"/>
      <c r="O193" s="10"/>
      <c r="P193" s="10"/>
      <c r="Q193" s="10"/>
      <c r="R193" s="18"/>
      <c r="S193" s="10"/>
      <c r="T193" s="10"/>
      <c r="U193" s="13"/>
      <c r="V193" s="13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3"/>
      <c r="AL193" s="14"/>
      <c r="AM193" s="15"/>
      <c r="AN193" s="15"/>
      <c r="AO193" s="13"/>
      <c r="AP193" s="13"/>
      <c r="AQ193" s="16"/>
      <c r="AR193" s="10"/>
      <c r="AS193" s="10"/>
      <c r="AT193" s="10"/>
      <c r="AU193" s="10"/>
      <c r="AV193" s="11"/>
      <c r="AW193" s="11"/>
      <c r="AX193" s="10"/>
      <c r="AY193" s="11"/>
      <c r="AZ193" s="11"/>
      <c r="BA193" s="11"/>
      <c r="BB193" s="10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7"/>
      <c r="CD193" s="17"/>
      <c r="CE193" s="11"/>
      <c r="CF193" s="13"/>
      <c r="CG193" s="13"/>
      <c r="CH193" s="13"/>
      <c r="CI193" s="13"/>
      <c r="CJ193" s="13"/>
    </row>
    <row r="194" spans="1:88" s="9" customFormat="1" x14ac:dyDescent="0.25">
      <c r="A194" s="10"/>
      <c r="B194" s="10"/>
      <c r="C194" s="10"/>
      <c r="D194" s="10"/>
      <c r="E194" s="11"/>
      <c r="F194" s="10"/>
      <c r="G194" s="10"/>
      <c r="H194" s="10"/>
      <c r="I194" s="10"/>
      <c r="J194" s="10"/>
      <c r="K194" s="12"/>
      <c r="L194" s="10"/>
      <c r="M194" s="10"/>
      <c r="N194" s="13"/>
      <c r="O194" s="10"/>
      <c r="P194" s="10"/>
      <c r="Q194" s="10"/>
      <c r="R194" s="18"/>
      <c r="S194" s="10"/>
      <c r="T194" s="10"/>
      <c r="U194" s="13"/>
      <c r="V194" s="13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3"/>
      <c r="AL194" s="14"/>
      <c r="AM194" s="15"/>
      <c r="AN194" s="15"/>
      <c r="AO194" s="13"/>
      <c r="AP194" s="13"/>
      <c r="AQ194" s="16"/>
      <c r="AR194" s="10"/>
      <c r="AS194" s="10"/>
      <c r="AT194" s="10"/>
      <c r="AU194" s="10"/>
      <c r="AV194" s="11"/>
      <c r="AW194" s="11"/>
      <c r="AX194" s="10"/>
      <c r="AY194" s="11"/>
      <c r="AZ194" s="11"/>
      <c r="BA194" s="11"/>
      <c r="BB194" s="10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7"/>
      <c r="CD194" s="17"/>
      <c r="CE194" s="11"/>
      <c r="CF194" s="13"/>
      <c r="CG194" s="13"/>
      <c r="CH194" s="13"/>
      <c r="CI194" s="13"/>
      <c r="CJ194" s="13"/>
    </row>
    <row r="195" spans="1:88" s="9" customFormat="1" x14ac:dyDescent="0.25">
      <c r="A195" s="10"/>
      <c r="B195" s="10"/>
      <c r="C195" s="10"/>
      <c r="D195" s="10"/>
      <c r="E195" s="11"/>
      <c r="F195" s="10"/>
      <c r="G195" s="10"/>
      <c r="H195" s="10"/>
      <c r="I195" s="10"/>
      <c r="J195" s="10"/>
      <c r="K195" s="12"/>
      <c r="L195" s="10"/>
      <c r="M195" s="10"/>
      <c r="N195" s="13"/>
      <c r="O195" s="10"/>
      <c r="P195" s="10"/>
      <c r="Q195" s="10"/>
      <c r="R195" s="18"/>
      <c r="S195" s="10"/>
      <c r="T195" s="10"/>
      <c r="U195" s="13"/>
      <c r="V195" s="13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3"/>
      <c r="AL195" s="14"/>
      <c r="AM195" s="15"/>
      <c r="AN195" s="15"/>
      <c r="AO195" s="13"/>
      <c r="AP195" s="13"/>
      <c r="AQ195" s="16"/>
      <c r="AR195" s="10"/>
      <c r="AS195" s="10"/>
      <c r="AT195" s="10"/>
      <c r="AU195" s="10"/>
      <c r="AV195" s="11"/>
      <c r="AW195" s="11"/>
      <c r="AX195" s="10"/>
      <c r="AY195" s="11"/>
      <c r="AZ195" s="11"/>
      <c r="BA195" s="11"/>
      <c r="BB195" s="10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7"/>
      <c r="CD195" s="17"/>
      <c r="CE195" s="11"/>
      <c r="CF195" s="13"/>
      <c r="CG195" s="13"/>
      <c r="CH195" s="13"/>
      <c r="CI195" s="13"/>
      <c r="CJ195" s="13"/>
    </row>
    <row r="196" spans="1:88" s="9" customFormat="1" x14ac:dyDescent="0.25">
      <c r="A196" s="10"/>
      <c r="B196" s="10"/>
      <c r="C196" s="10"/>
      <c r="D196" s="10"/>
      <c r="E196" s="11"/>
      <c r="F196" s="10"/>
      <c r="G196" s="10"/>
      <c r="H196" s="10"/>
      <c r="I196" s="10"/>
      <c r="J196" s="10"/>
      <c r="K196" s="12"/>
      <c r="L196" s="10"/>
      <c r="M196" s="10"/>
      <c r="N196" s="13"/>
      <c r="O196" s="10"/>
      <c r="P196" s="10"/>
      <c r="Q196" s="10"/>
      <c r="R196" s="18"/>
      <c r="S196" s="10"/>
      <c r="T196" s="10"/>
      <c r="U196" s="13"/>
      <c r="V196" s="13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3"/>
      <c r="AL196" s="14"/>
      <c r="AM196" s="15"/>
      <c r="AN196" s="15"/>
      <c r="AO196" s="13"/>
      <c r="AP196" s="13"/>
      <c r="AQ196" s="16"/>
      <c r="AR196" s="10"/>
      <c r="AS196" s="10"/>
      <c r="AT196" s="10"/>
      <c r="AU196" s="10"/>
      <c r="AV196" s="11"/>
      <c r="AW196" s="11"/>
      <c r="AX196" s="10"/>
      <c r="AY196" s="11"/>
      <c r="AZ196" s="11"/>
      <c r="BA196" s="11"/>
      <c r="BB196" s="10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  <c r="BV196" s="11"/>
      <c r="BW196" s="11"/>
      <c r="BX196" s="11"/>
      <c r="BY196" s="11"/>
      <c r="BZ196" s="11"/>
      <c r="CA196" s="11"/>
      <c r="CB196" s="11"/>
      <c r="CC196" s="17"/>
      <c r="CD196" s="17"/>
      <c r="CE196" s="11"/>
      <c r="CF196" s="13"/>
      <c r="CG196" s="13"/>
      <c r="CH196" s="13"/>
      <c r="CI196" s="13"/>
      <c r="CJ196" s="13"/>
    </row>
    <row r="197" spans="1:88" s="9" customFormat="1" x14ac:dyDescent="0.25">
      <c r="A197" s="10"/>
      <c r="B197" s="10"/>
      <c r="C197" s="10"/>
      <c r="D197" s="10"/>
      <c r="E197" s="11"/>
      <c r="F197" s="10"/>
      <c r="G197" s="10"/>
      <c r="H197" s="10"/>
      <c r="I197" s="10"/>
      <c r="J197" s="10"/>
      <c r="K197" s="12"/>
      <c r="L197" s="10"/>
      <c r="M197" s="10"/>
      <c r="N197" s="13"/>
      <c r="O197" s="10"/>
      <c r="P197" s="10"/>
      <c r="Q197" s="10"/>
      <c r="R197" s="18"/>
      <c r="S197" s="10"/>
      <c r="T197" s="10"/>
      <c r="U197" s="13"/>
      <c r="V197" s="13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3"/>
      <c r="AL197" s="14"/>
      <c r="AM197" s="15"/>
      <c r="AN197" s="15"/>
      <c r="AO197" s="13"/>
      <c r="AP197" s="13"/>
      <c r="AQ197" s="16"/>
      <c r="AR197" s="10"/>
      <c r="AS197" s="10"/>
      <c r="AT197" s="10"/>
      <c r="AU197" s="10"/>
      <c r="AV197" s="11"/>
      <c r="AW197" s="11"/>
      <c r="AX197" s="10"/>
      <c r="AY197" s="11"/>
      <c r="AZ197" s="11"/>
      <c r="BA197" s="11"/>
      <c r="BB197" s="10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7"/>
      <c r="CD197" s="17"/>
      <c r="CE197" s="11"/>
      <c r="CF197" s="13"/>
      <c r="CG197" s="13"/>
      <c r="CH197" s="13"/>
      <c r="CI197" s="13"/>
      <c r="CJ197" s="13"/>
    </row>
    <row r="198" spans="1:88" s="9" customFormat="1" x14ac:dyDescent="0.25">
      <c r="A198" s="10"/>
      <c r="B198" s="10"/>
      <c r="C198" s="10"/>
      <c r="D198" s="10"/>
      <c r="E198" s="11"/>
      <c r="F198" s="10"/>
      <c r="G198" s="10"/>
      <c r="H198" s="10"/>
      <c r="I198" s="10"/>
      <c r="J198" s="10"/>
      <c r="K198" s="12"/>
      <c r="L198" s="10"/>
      <c r="M198" s="10"/>
      <c r="N198" s="13"/>
      <c r="O198" s="10"/>
      <c r="P198" s="10"/>
      <c r="Q198" s="10"/>
      <c r="R198" s="18"/>
      <c r="S198" s="10"/>
      <c r="T198" s="10"/>
      <c r="U198" s="13"/>
      <c r="V198" s="13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3"/>
      <c r="AL198" s="14"/>
      <c r="AM198" s="15"/>
      <c r="AN198" s="15"/>
      <c r="AO198" s="13"/>
      <c r="AP198" s="13"/>
      <c r="AQ198" s="16"/>
      <c r="AR198" s="10"/>
      <c r="AS198" s="10"/>
      <c r="AT198" s="10"/>
      <c r="AU198" s="10"/>
      <c r="AV198" s="11"/>
      <c r="AW198" s="11"/>
      <c r="AX198" s="10"/>
      <c r="AY198" s="11"/>
      <c r="AZ198" s="11"/>
      <c r="BA198" s="11"/>
      <c r="BB198" s="10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  <c r="BV198" s="11"/>
      <c r="BW198" s="11"/>
      <c r="BX198" s="11"/>
      <c r="BY198" s="11"/>
      <c r="BZ198" s="11"/>
      <c r="CA198" s="11"/>
      <c r="CB198" s="11"/>
      <c r="CC198" s="17"/>
      <c r="CD198" s="17"/>
      <c r="CE198" s="11"/>
      <c r="CF198" s="13"/>
      <c r="CG198" s="13"/>
      <c r="CH198" s="13"/>
      <c r="CI198" s="13"/>
      <c r="CJ198" s="13"/>
    </row>
    <row r="199" spans="1:88" s="9" customFormat="1" x14ac:dyDescent="0.25">
      <c r="A199" s="10"/>
      <c r="B199" s="10"/>
      <c r="C199" s="10"/>
      <c r="D199" s="10"/>
      <c r="E199" s="11"/>
      <c r="F199" s="10"/>
      <c r="G199" s="10"/>
      <c r="H199" s="10"/>
      <c r="I199" s="10"/>
      <c r="J199" s="10"/>
      <c r="K199" s="12"/>
      <c r="L199" s="10"/>
      <c r="M199" s="10"/>
      <c r="N199" s="13"/>
      <c r="O199" s="10"/>
      <c r="P199" s="10"/>
      <c r="Q199" s="10"/>
      <c r="R199" s="18"/>
      <c r="S199" s="10"/>
      <c r="T199" s="10"/>
      <c r="U199" s="13"/>
      <c r="V199" s="13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3"/>
      <c r="AL199" s="14"/>
      <c r="AM199" s="15"/>
      <c r="AN199" s="15"/>
      <c r="AO199" s="13"/>
      <c r="AP199" s="13"/>
      <c r="AQ199" s="16"/>
      <c r="AR199" s="10"/>
      <c r="AS199" s="10"/>
      <c r="AT199" s="10"/>
      <c r="AU199" s="10"/>
      <c r="AV199" s="11"/>
      <c r="AW199" s="11"/>
      <c r="AX199" s="10"/>
      <c r="AY199" s="11"/>
      <c r="AZ199" s="11"/>
      <c r="BA199" s="11"/>
      <c r="BB199" s="10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7"/>
      <c r="CD199" s="17"/>
      <c r="CE199" s="11"/>
      <c r="CF199" s="13"/>
      <c r="CG199" s="13"/>
      <c r="CH199" s="13"/>
      <c r="CI199" s="13"/>
      <c r="CJ199" s="13"/>
    </row>
    <row r="200" spans="1:88" s="9" customFormat="1" x14ac:dyDescent="0.25">
      <c r="A200" s="10"/>
      <c r="B200" s="10"/>
      <c r="C200" s="10"/>
      <c r="D200" s="10"/>
      <c r="E200" s="11"/>
      <c r="F200" s="10"/>
      <c r="G200" s="10"/>
      <c r="H200" s="10"/>
      <c r="I200" s="10"/>
      <c r="J200" s="10"/>
      <c r="K200" s="12"/>
      <c r="L200" s="10"/>
      <c r="M200" s="10"/>
      <c r="N200" s="13"/>
      <c r="O200" s="10"/>
      <c r="P200" s="10"/>
      <c r="Q200" s="10"/>
      <c r="R200" s="18"/>
      <c r="S200" s="10"/>
      <c r="T200" s="10"/>
      <c r="U200" s="13"/>
      <c r="V200" s="13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3"/>
      <c r="AL200" s="14"/>
      <c r="AM200" s="15"/>
      <c r="AN200" s="15"/>
      <c r="AO200" s="13"/>
      <c r="AP200" s="13"/>
      <c r="AQ200" s="16"/>
      <c r="AR200" s="10"/>
      <c r="AS200" s="10"/>
      <c r="AT200" s="10"/>
      <c r="AU200" s="10"/>
      <c r="AV200" s="11"/>
      <c r="AW200" s="11"/>
      <c r="AX200" s="10"/>
      <c r="AY200" s="11"/>
      <c r="AZ200" s="11"/>
      <c r="BA200" s="11"/>
      <c r="BB200" s="10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7"/>
      <c r="CD200" s="17"/>
      <c r="CE200" s="11"/>
      <c r="CF200" s="13"/>
      <c r="CG200" s="13"/>
      <c r="CH200" s="13"/>
      <c r="CI200" s="13"/>
      <c r="CJ200" s="13"/>
    </row>
    <row r="201" spans="1:88" s="9" customFormat="1" x14ac:dyDescent="0.25">
      <c r="A201" s="10"/>
      <c r="B201" s="10"/>
      <c r="C201" s="10"/>
      <c r="D201" s="10"/>
      <c r="E201" s="11"/>
      <c r="F201" s="10"/>
      <c r="G201" s="10"/>
      <c r="H201" s="10"/>
      <c r="I201" s="10"/>
      <c r="J201" s="10"/>
      <c r="K201" s="12"/>
      <c r="L201" s="10"/>
      <c r="M201" s="10"/>
      <c r="N201" s="13"/>
      <c r="O201" s="10"/>
      <c r="P201" s="10"/>
      <c r="Q201" s="10"/>
      <c r="R201" s="18"/>
      <c r="S201" s="10"/>
      <c r="T201" s="10"/>
      <c r="U201" s="13"/>
      <c r="V201" s="13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3"/>
      <c r="AL201" s="14"/>
      <c r="AM201" s="15"/>
      <c r="AN201" s="15"/>
      <c r="AO201" s="13"/>
      <c r="AP201" s="13"/>
      <c r="AQ201" s="16"/>
      <c r="AR201" s="10"/>
      <c r="AS201" s="10"/>
      <c r="AT201" s="10"/>
      <c r="AU201" s="10"/>
      <c r="AV201" s="11"/>
      <c r="AW201" s="11"/>
      <c r="AX201" s="10"/>
      <c r="AY201" s="11"/>
      <c r="AZ201" s="11"/>
      <c r="BA201" s="11"/>
      <c r="BB201" s="10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7"/>
      <c r="CD201" s="17"/>
      <c r="CE201" s="11"/>
      <c r="CF201" s="13"/>
      <c r="CG201" s="13"/>
      <c r="CH201" s="13"/>
      <c r="CI201" s="13"/>
      <c r="CJ201" s="13"/>
    </row>
    <row r="202" spans="1:88" s="9" customFormat="1" x14ac:dyDescent="0.25">
      <c r="A202" s="10"/>
      <c r="B202" s="10"/>
      <c r="C202" s="10"/>
      <c r="D202" s="10"/>
      <c r="E202" s="11"/>
      <c r="F202" s="10"/>
      <c r="G202" s="10"/>
      <c r="H202" s="10"/>
      <c r="I202" s="10"/>
      <c r="J202" s="10"/>
      <c r="K202" s="12"/>
      <c r="L202" s="10"/>
      <c r="M202" s="10"/>
      <c r="N202" s="13"/>
      <c r="O202" s="10"/>
      <c r="P202" s="10"/>
      <c r="Q202" s="10"/>
      <c r="R202" s="18"/>
      <c r="S202" s="10"/>
      <c r="T202" s="10"/>
      <c r="U202" s="13"/>
      <c r="V202" s="13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3"/>
      <c r="AL202" s="14"/>
      <c r="AM202" s="15"/>
      <c r="AN202" s="15"/>
      <c r="AO202" s="13"/>
      <c r="AP202" s="13"/>
      <c r="AQ202" s="16"/>
      <c r="AR202" s="10"/>
      <c r="AS202" s="10"/>
      <c r="AT202" s="10"/>
      <c r="AU202" s="10"/>
      <c r="AV202" s="11"/>
      <c r="AW202" s="11"/>
      <c r="AX202" s="10"/>
      <c r="AY202" s="11"/>
      <c r="AZ202" s="11"/>
      <c r="BA202" s="11"/>
      <c r="BB202" s="10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  <c r="BV202" s="11"/>
      <c r="BW202" s="11"/>
      <c r="BX202" s="11"/>
      <c r="BY202" s="11"/>
      <c r="BZ202" s="11"/>
      <c r="CA202" s="11"/>
      <c r="CB202" s="11"/>
      <c r="CC202" s="17"/>
      <c r="CD202" s="17"/>
      <c r="CE202" s="11"/>
      <c r="CF202" s="13"/>
      <c r="CG202" s="13"/>
      <c r="CH202" s="13"/>
      <c r="CI202" s="13"/>
      <c r="CJ202" s="13"/>
    </row>
    <row r="203" spans="1:88" s="9" customFormat="1" x14ac:dyDescent="0.25">
      <c r="A203" s="10"/>
      <c r="B203" s="10"/>
      <c r="C203" s="10"/>
      <c r="D203" s="10"/>
      <c r="E203" s="11"/>
      <c r="F203" s="10"/>
      <c r="G203" s="10"/>
      <c r="H203" s="10"/>
      <c r="I203" s="10"/>
      <c r="J203" s="10"/>
      <c r="K203" s="12"/>
      <c r="L203" s="10"/>
      <c r="M203" s="10"/>
      <c r="N203" s="13"/>
      <c r="O203" s="10"/>
      <c r="P203" s="10"/>
      <c r="Q203" s="10"/>
      <c r="R203" s="18"/>
      <c r="S203" s="10"/>
      <c r="T203" s="10"/>
      <c r="U203" s="13"/>
      <c r="V203" s="13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3"/>
      <c r="AL203" s="14"/>
      <c r="AM203" s="15"/>
      <c r="AN203" s="15"/>
      <c r="AO203" s="13"/>
      <c r="AP203" s="13"/>
      <c r="AQ203" s="16"/>
      <c r="AR203" s="10"/>
      <c r="AS203" s="10"/>
      <c r="AT203" s="10"/>
      <c r="AU203" s="10"/>
      <c r="AV203" s="11"/>
      <c r="AW203" s="11"/>
      <c r="AX203" s="10"/>
      <c r="AY203" s="11"/>
      <c r="AZ203" s="11"/>
      <c r="BA203" s="11"/>
      <c r="BB203" s="10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7"/>
      <c r="CD203" s="17"/>
      <c r="CE203" s="11"/>
      <c r="CF203" s="13"/>
      <c r="CG203" s="13"/>
      <c r="CH203" s="13"/>
      <c r="CI203" s="13"/>
      <c r="CJ203" s="13"/>
    </row>
    <row r="204" spans="1:88" s="9" customFormat="1" x14ac:dyDescent="0.25">
      <c r="A204" s="10"/>
      <c r="B204" s="10"/>
      <c r="C204" s="10"/>
      <c r="D204" s="10"/>
      <c r="E204" s="11"/>
      <c r="F204" s="10"/>
      <c r="G204" s="10"/>
      <c r="H204" s="10"/>
      <c r="I204" s="10"/>
      <c r="J204" s="10"/>
      <c r="K204" s="12"/>
      <c r="L204" s="10"/>
      <c r="M204" s="10"/>
      <c r="N204" s="13"/>
      <c r="O204" s="10"/>
      <c r="P204" s="10"/>
      <c r="Q204" s="10"/>
      <c r="R204" s="18"/>
      <c r="S204" s="10"/>
      <c r="T204" s="10"/>
      <c r="U204" s="13"/>
      <c r="V204" s="13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3"/>
      <c r="AL204" s="14"/>
      <c r="AM204" s="15"/>
      <c r="AN204" s="15"/>
      <c r="AO204" s="13"/>
      <c r="AP204" s="13"/>
      <c r="AQ204" s="16"/>
      <c r="AR204" s="10"/>
      <c r="AS204" s="10"/>
      <c r="AT204" s="10"/>
      <c r="AU204" s="10"/>
      <c r="AV204" s="11"/>
      <c r="AW204" s="11"/>
      <c r="AX204" s="10"/>
      <c r="AY204" s="11"/>
      <c r="AZ204" s="11"/>
      <c r="BA204" s="11"/>
      <c r="BB204" s="10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  <c r="BU204" s="11"/>
      <c r="BV204" s="11"/>
      <c r="BW204" s="11"/>
      <c r="BX204" s="11"/>
      <c r="BY204" s="11"/>
      <c r="BZ204" s="11"/>
      <c r="CA204" s="11"/>
      <c r="CB204" s="11"/>
      <c r="CC204" s="17"/>
      <c r="CD204" s="17"/>
      <c r="CE204" s="11"/>
      <c r="CF204" s="13"/>
      <c r="CG204" s="13"/>
      <c r="CH204" s="13"/>
      <c r="CI204" s="13"/>
      <c r="CJ204" s="13"/>
    </row>
    <row r="205" spans="1:88" s="9" customFormat="1" x14ac:dyDescent="0.25">
      <c r="A205" s="10"/>
      <c r="B205" s="10"/>
      <c r="C205" s="10"/>
      <c r="D205" s="10"/>
      <c r="E205" s="11"/>
      <c r="F205" s="10"/>
      <c r="G205" s="10"/>
      <c r="H205" s="10"/>
      <c r="I205" s="10"/>
      <c r="J205" s="10"/>
      <c r="K205" s="12"/>
      <c r="L205" s="10"/>
      <c r="M205" s="10"/>
      <c r="N205" s="13"/>
      <c r="O205" s="10"/>
      <c r="P205" s="10"/>
      <c r="Q205" s="10"/>
      <c r="R205" s="18"/>
      <c r="S205" s="10"/>
      <c r="T205" s="10"/>
      <c r="U205" s="13"/>
      <c r="V205" s="13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3"/>
      <c r="AL205" s="14"/>
      <c r="AM205" s="15"/>
      <c r="AN205" s="15"/>
      <c r="AO205" s="13"/>
      <c r="AP205" s="13"/>
      <c r="AQ205" s="16"/>
      <c r="AR205" s="10"/>
      <c r="AS205" s="10"/>
      <c r="AT205" s="10"/>
      <c r="AU205" s="10"/>
      <c r="AV205" s="11"/>
      <c r="AW205" s="11"/>
      <c r="AX205" s="10"/>
      <c r="AY205" s="11"/>
      <c r="AZ205" s="11"/>
      <c r="BA205" s="11"/>
      <c r="BB205" s="10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7"/>
      <c r="CD205" s="17"/>
      <c r="CE205" s="11"/>
      <c r="CF205" s="13"/>
      <c r="CG205" s="13"/>
      <c r="CH205" s="13"/>
      <c r="CI205" s="13"/>
      <c r="CJ205" s="13"/>
    </row>
    <row r="206" spans="1:88" s="9" customFormat="1" x14ac:dyDescent="0.25">
      <c r="A206" s="10"/>
      <c r="B206" s="10"/>
      <c r="C206" s="10"/>
      <c r="D206" s="10"/>
      <c r="E206" s="11"/>
      <c r="F206" s="10"/>
      <c r="G206" s="10"/>
      <c r="H206" s="10"/>
      <c r="I206" s="10"/>
      <c r="J206" s="10"/>
      <c r="K206" s="12"/>
      <c r="L206" s="10"/>
      <c r="M206" s="10"/>
      <c r="N206" s="13"/>
      <c r="O206" s="10"/>
      <c r="P206" s="10"/>
      <c r="Q206" s="10"/>
      <c r="R206" s="18"/>
      <c r="S206" s="10"/>
      <c r="T206" s="10"/>
      <c r="U206" s="13"/>
      <c r="V206" s="13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3"/>
      <c r="AL206" s="14"/>
      <c r="AM206" s="15"/>
      <c r="AN206" s="15"/>
      <c r="AO206" s="13"/>
      <c r="AP206" s="13"/>
      <c r="AQ206" s="16"/>
      <c r="AR206" s="10"/>
      <c r="AS206" s="10"/>
      <c r="AT206" s="10"/>
      <c r="AU206" s="10"/>
      <c r="AV206" s="11"/>
      <c r="AW206" s="11"/>
      <c r="AX206" s="10"/>
      <c r="AY206" s="11"/>
      <c r="AZ206" s="11"/>
      <c r="BA206" s="11"/>
      <c r="BB206" s="10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  <c r="BV206" s="11"/>
      <c r="BW206" s="11"/>
      <c r="BX206" s="11"/>
      <c r="BY206" s="11"/>
      <c r="BZ206" s="11"/>
      <c r="CA206" s="11"/>
      <c r="CB206" s="11"/>
      <c r="CC206" s="17"/>
      <c r="CD206" s="17"/>
      <c r="CE206" s="11"/>
      <c r="CF206" s="13"/>
      <c r="CG206" s="13"/>
      <c r="CH206" s="13"/>
      <c r="CI206" s="13"/>
      <c r="CJ206" s="13"/>
    </row>
    <row r="207" spans="1:88" s="9" customFormat="1" x14ac:dyDescent="0.25">
      <c r="A207" s="10"/>
      <c r="B207" s="10"/>
      <c r="C207" s="10"/>
      <c r="D207" s="10"/>
      <c r="E207" s="11"/>
      <c r="F207" s="10"/>
      <c r="G207" s="10"/>
      <c r="H207" s="10"/>
      <c r="I207" s="10"/>
      <c r="J207" s="10"/>
      <c r="K207" s="12"/>
      <c r="L207" s="10"/>
      <c r="M207" s="10"/>
      <c r="N207" s="13"/>
      <c r="O207" s="10"/>
      <c r="P207" s="10"/>
      <c r="Q207" s="10"/>
      <c r="R207" s="18"/>
      <c r="S207" s="10"/>
      <c r="T207" s="10"/>
      <c r="U207" s="13"/>
      <c r="V207" s="13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3"/>
      <c r="AL207" s="14"/>
      <c r="AM207" s="15"/>
      <c r="AN207" s="15"/>
      <c r="AO207" s="13"/>
      <c r="AP207" s="13"/>
      <c r="AQ207" s="16"/>
      <c r="AR207" s="10"/>
      <c r="AS207" s="10"/>
      <c r="AT207" s="10"/>
      <c r="AU207" s="10"/>
      <c r="AV207" s="11"/>
      <c r="AW207" s="11"/>
      <c r="AX207" s="10"/>
      <c r="AY207" s="11"/>
      <c r="AZ207" s="11"/>
      <c r="BA207" s="11"/>
      <c r="BB207" s="10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  <c r="BU207" s="11"/>
      <c r="BV207" s="11"/>
      <c r="BW207" s="11"/>
      <c r="BX207" s="11"/>
      <c r="BY207" s="11"/>
      <c r="BZ207" s="11"/>
      <c r="CA207" s="11"/>
      <c r="CB207" s="11"/>
      <c r="CC207" s="17"/>
      <c r="CD207" s="17"/>
      <c r="CE207" s="11"/>
      <c r="CF207" s="13"/>
      <c r="CG207" s="13"/>
      <c r="CH207" s="13"/>
      <c r="CI207" s="13"/>
      <c r="CJ207" s="13"/>
    </row>
    <row r="208" spans="1:88" s="9" customFormat="1" x14ac:dyDescent="0.25">
      <c r="A208" s="10"/>
      <c r="B208" s="10"/>
      <c r="C208" s="10"/>
      <c r="D208" s="10"/>
      <c r="E208" s="11"/>
      <c r="F208" s="10"/>
      <c r="G208" s="10"/>
      <c r="H208" s="10"/>
      <c r="I208" s="10"/>
      <c r="J208" s="10"/>
      <c r="K208" s="12"/>
      <c r="L208" s="10"/>
      <c r="M208" s="10"/>
      <c r="N208" s="13"/>
      <c r="O208" s="10"/>
      <c r="P208" s="10"/>
      <c r="Q208" s="10"/>
      <c r="R208" s="18"/>
      <c r="S208" s="10"/>
      <c r="T208" s="10"/>
      <c r="U208" s="13"/>
      <c r="V208" s="13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3"/>
      <c r="AL208" s="14"/>
      <c r="AM208" s="15"/>
      <c r="AN208" s="15"/>
      <c r="AO208" s="13"/>
      <c r="AP208" s="13"/>
      <c r="AQ208" s="16"/>
      <c r="AR208" s="10"/>
      <c r="AS208" s="10"/>
      <c r="AT208" s="10"/>
      <c r="AU208" s="10"/>
      <c r="AV208" s="11"/>
      <c r="AW208" s="11"/>
      <c r="AX208" s="10"/>
      <c r="AY208" s="11"/>
      <c r="AZ208" s="11"/>
      <c r="BA208" s="11"/>
      <c r="BB208" s="10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7"/>
      <c r="CD208" s="17"/>
      <c r="CE208" s="11"/>
      <c r="CF208" s="13"/>
      <c r="CG208" s="13"/>
      <c r="CH208" s="13"/>
      <c r="CI208" s="13"/>
      <c r="CJ208" s="13"/>
    </row>
    <row r="209" spans="1:88" s="9" customFormat="1" x14ac:dyDescent="0.25">
      <c r="A209" s="10"/>
      <c r="B209" s="10"/>
      <c r="C209" s="10"/>
      <c r="D209" s="10"/>
      <c r="E209" s="11"/>
      <c r="F209" s="10"/>
      <c r="G209" s="10"/>
      <c r="H209" s="10"/>
      <c r="I209" s="10"/>
      <c r="J209" s="10"/>
      <c r="K209" s="12"/>
      <c r="L209" s="10"/>
      <c r="M209" s="10"/>
      <c r="N209" s="13"/>
      <c r="O209" s="10"/>
      <c r="P209" s="10"/>
      <c r="Q209" s="10"/>
      <c r="R209" s="18"/>
      <c r="S209" s="10"/>
      <c r="T209" s="10"/>
      <c r="U209" s="13"/>
      <c r="V209" s="13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3"/>
      <c r="AL209" s="14"/>
      <c r="AM209" s="15"/>
      <c r="AN209" s="15"/>
      <c r="AO209" s="13"/>
      <c r="AP209" s="13"/>
      <c r="AQ209" s="16"/>
      <c r="AR209" s="10"/>
      <c r="AS209" s="10"/>
      <c r="AT209" s="10"/>
      <c r="AU209" s="10"/>
      <c r="AV209" s="11"/>
      <c r="AW209" s="11"/>
      <c r="AX209" s="10"/>
      <c r="AY209" s="11"/>
      <c r="AZ209" s="11"/>
      <c r="BA209" s="11"/>
      <c r="BB209" s="10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7"/>
      <c r="CD209" s="17"/>
      <c r="CE209" s="11"/>
      <c r="CF209" s="13"/>
      <c r="CG209" s="13"/>
      <c r="CH209" s="13"/>
      <c r="CI209" s="13"/>
      <c r="CJ209" s="13"/>
    </row>
    <row r="210" spans="1:88" s="9" customFormat="1" x14ac:dyDescent="0.25">
      <c r="A210" s="10"/>
      <c r="B210" s="10"/>
      <c r="C210" s="10"/>
      <c r="D210" s="10"/>
      <c r="E210" s="11"/>
      <c r="F210" s="10"/>
      <c r="G210" s="10"/>
      <c r="H210" s="10"/>
      <c r="I210" s="10"/>
      <c r="J210" s="10"/>
      <c r="K210" s="12"/>
      <c r="L210" s="10"/>
      <c r="M210" s="10"/>
      <c r="N210" s="13"/>
      <c r="O210" s="10"/>
      <c r="P210" s="10"/>
      <c r="Q210" s="10"/>
      <c r="R210" s="18"/>
      <c r="S210" s="10"/>
      <c r="T210" s="10"/>
      <c r="U210" s="13"/>
      <c r="V210" s="13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3"/>
      <c r="AL210" s="14"/>
      <c r="AM210" s="15"/>
      <c r="AN210" s="15"/>
      <c r="AO210" s="13"/>
      <c r="AP210" s="13"/>
      <c r="AQ210" s="16"/>
      <c r="AR210" s="10"/>
      <c r="AS210" s="10"/>
      <c r="AT210" s="10"/>
      <c r="AU210" s="10"/>
      <c r="AV210" s="11"/>
      <c r="AW210" s="11"/>
      <c r="AX210" s="10"/>
      <c r="AY210" s="11"/>
      <c r="AZ210" s="11"/>
      <c r="BA210" s="11"/>
      <c r="BB210" s="10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7"/>
      <c r="CD210" s="17"/>
      <c r="CE210" s="11"/>
      <c r="CF210" s="13"/>
      <c r="CG210" s="13"/>
      <c r="CH210" s="13"/>
      <c r="CI210" s="13"/>
      <c r="CJ210" s="13"/>
    </row>
    <row r="211" spans="1:88" s="9" customFormat="1" x14ac:dyDescent="0.25">
      <c r="A211" s="10"/>
      <c r="B211" s="10"/>
      <c r="C211" s="10"/>
      <c r="D211" s="10"/>
      <c r="E211" s="11"/>
      <c r="F211" s="10"/>
      <c r="G211" s="10"/>
      <c r="H211" s="10"/>
      <c r="I211" s="10"/>
      <c r="J211" s="10"/>
      <c r="K211" s="12"/>
      <c r="L211" s="10"/>
      <c r="M211" s="10"/>
      <c r="N211" s="13"/>
      <c r="O211" s="10"/>
      <c r="P211" s="10"/>
      <c r="Q211" s="10"/>
      <c r="R211" s="18"/>
      <c r="S211" s="10"/>
      <c r="T211" s="10"/>
      <c r="U211" s="13"/>
      <c r="V211" s="13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3"/>
      <c r="AL211" s="14"/>
      <c r="AM211" s="15"/>
      <c r="AN211" s="15"/>
      <c r="AO211" s="13"/>
      <c r="AP211" s="13"/>
      <c r="AQ211" s="16"/>
      <c r="AR211" s="10"/>
      <c r="AS211" s="10"/>
      <c r="AT211" s="10"/>
      <c r="AU211" s="10"/>
      <c r="AV211" s="11"/>
      <c r="AW211" s="11"/>
      <c r="AX211" s="10"/>
      <c r="AY211" s="11"/>
      <c r="AZ211" s="11"/>
      <c r="BA211" s="11"/>
      <c r="BB211" s="10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  <c r="BV211" s="11"/>
      <c r="BW211" s="11"/>
      <c r="BX211" s="11"/>
      <c r="BY211" s="11"/>
      <c r="BZ211" s="11"/>
      <c r="CA211" s="11"/>
      <c r="CB211" s="11"/>
      <c r="CC211" s="17"/>
      <c r="CD211" s="17"/>
      <c r="CE211" s="11"/>
      <c r="CF211" s="13"/>
      <c r="CG211" s="13"/>
      <c r="CH211" s="13"/>
      <c r="CI211" s="13"/>
      <c r="CJ211" s="13"/>
    </row>
    <row r="212" spans="1:88" s="9" customFormat="1" x14ac:dyDescent="0.25">
      <c r="A212" s="10"/>
      <c r="B212" s="10"/>
      <c r="C212" s="10"/>
      <c r="D212" s="10"/>
      <c r="E212" s="11"/>
      <c r="F212" s="10"/>
      <c r="G212" s="10"/>
      <c r="H212" s="10"/>
      <c r="I212" s="10"/>
      <c r="J212" s="10"/>
      <c r="K212" s="12"/>
      <c r="L212" s="10"/>
      <c r="M212" s="10"/>
      <c r="N212" s="13"/>
      <c r="O212" s="10"/>
      <c r="P212" s="10"/>
      <c r="Q212" s="10"/>
      <c r="R212" s="18"/>
      <c r="S212" s="10"/>
      <c r="T212" s="10"/>
      <c r="U212" s="13"/>
      <c r="V212" s="13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3"/>
      <c r="AL212" s="14"/>
      <c r="AM212" s="15"/>
      <c r="AN212" s="15"/>
      <c r="AO212" s="13"/>
      <c r="AP212" s="13"/>
      <c r="AQ212" s="16"/>
      <c r="AR212" s="10"/>
      <c r="AS212" s="10"/>
      <c r="AT212" s="10"/>
      <c r="AU212" s="10"/>
      <c r="AV212" s="11"/>
      <c r="AW212" s="11"/>
      <c r="AX212" s="10"/>
      <c r="AY212" s="11"/>
      <c r="AZ212" s="11"/>
      <c r="BA212" s="11"/>
      <c r="BB212" s="10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7"/>
      <c r="CD212" s="17"/>
      <c r="CE212" s="11"/>
      <c r="CF212" s="13"/>
      <c r="CG212" s="13"/>
      <c r="CH212" s="13"/>
      <c r="CI212" s="13"/>
      <c r="CJ212" s="13"/>
    </row>
    <row r="213" spans="1:88" s="9" customFormat="1" x14ac:dyDescent="0.25">
      <c r="A213" s="10"/>
      <c r="B213" s="10"/>
      <c r="C213" s="10"/>
      <c r="D213" s="10"/>
      <c r="E213" s="11"/>
      <c r="F213" s="10"/>
      <c r="G213" s="10"/>
      <c r="H213" s="10"/>
      <c r="I213" s="10"/>
      <c r="J213" s="10"/>
      <c r="K213" s="12"/>
      <c r="L213" s="10"/>
      <c r="M213" s="10"/>
      <c r="N213" s="13"/>
      <c r="O213" s="10"/>
      <c r="P213" s="10"/>
      <c r="Q213" s="10"/>
      <c r="R213" s="18"/>
      <c r="S213" s="10"/>
      <c r="T213" s="10"/>
      <c r="U213" s="13"/>
      <c r="V213" s="13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3"/>
      <c r="AL213" s="14"/>
      <c r="AM213" s="15"/>
      <c r="AN213" s="15"/>
      <c r="AO213" s="13"/>
      <c r="AP213" s="13"/>
      <c r="AQ213" s="16"/>
      <c r="AR213" s="10"/>
      <c r="AS213" s="10"/>
      <c r="AT213" s="10"/>
      <c r="AU213" s="10"/>
      <c r="AV213" s="11"/>
      <c r="AW213" s="11"/>
      <c r="AX213" s="10"/>
      <c r="AY213" s="11"/>
      <c r="AZ213" s="11"/>
      <c r="BA213" s="11"/>
      <c r="BB213" s="10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  <c r="BP213" s="11"/>
      <c r="BQ213" s="11"/>
      <c r="BR213" s="11"/>
      <c r="BS213" s="11"/>
      <c r="BT213" s="11"/>
      <c r="BU213" s="11"/>
      <c r="BV213" s="11"/>
      <c r="BW213" s="11"/>
      <c r="BX213" s="11"/>
      <c r="BY213" s="11"/>
      <c r="BZ213" s="11"/>
      <c r="CA213" s="11"/>
      <c r="CB213" s="11"/>
      <c r="CC213" s="17"/>
      <c r="CD213" s="17"/>
      <c r="CE213" s="11"/>
      <c r="CF213" s="13"/>
      <c r="CG213" s="13"/>
      <c r="CH213" s="13"/>
      <c r="CI213" s="13"/>
      <c r="CJ213" s="13"/>
    </row>
    <row r="214" spans="1:88" s="9" customFormat="1" x14ac:dyDescent="0.25">
      <c r="A214" s="10"/>
      <c r="B214" s="10"/>
      <c r="C214" s="10"/>
      <c r="D214" s="10"/>
      <c r="E214" s="11"/>
      <c r="F214" s="10"/>
      <c r="G214" s="10"/>
      <c r="H214" s="10"/>
      <c r="I214" s="10"/>
      <c r="J214" s="10"/>
      <c r="K214" s="12"/>
      <c r="L214" s="10"/>
      <c r="M214" s="10"/>
      <c r="N214" s="13"/>
      <c r="O214" s="10"/>
      <c r="P214" s="10"/>
      <c r="Q214" s="10"/>
      <c r="R214" s="18"/>
      <c r="S214" s="10"/>
      <c r="T214" s="10"/>
      <c r="U214" s="13"/>
      <c r="V214" s="13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3"/>
      <c r="AL214" s="14"/>
      <c r="AM214" s="15"/>
      <c r="AN214" s="15"/>
      <c r="AO214" s="13"/>
      <c r="AP214" s="13"/>
      <c r="AQ214" s="16"/>
      <c r="AR214" s="10"/>
      <c r="AS214" s="10"/>
      <c r="AT214" s="10"/>
      <c r="AU214" s="10"/>
      <c r="AV214" s="11"/>
      <c r="AW214" s="11"/>
      <c r="AX214" s="10"/>
      <c r="AY214" s="11"/>
      <c r="AZ214" s="11"/>
      <c r="BA214" s="11"/>
      <c r="BB214" s="10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  <c r="BU214" s="11"/>
      <c r="BV214" s="11"/>
      <c r="BW214" s="11"/>
      <c r="BX214" s="11"/>
      <c r="BY214" s="11"/>
      <c r="BZ214" s="11"/>
      <c r="CA214" s="11"/>
      <c r="CB214" s="11"/>
      <c r="CC214" s="17"/>
      <c r="CD214" s="17"/>
      <c r="CE214" s="11"/>
      <c r="CF214" s="13"/>
      <c r="CG214" s="13"/>
      <c r="CH214" s="13"/>
      <c r="CI214" s="13"/>
      <c r="CJ214" s="13"/>
    </row>
    <row r="215" spans="1:88" s="9" customFormat="1" x14ac:dyDescent="0.25">
      <c r="A215" s="10"/>
      <c r="B215" s="10"/>
      <c r="C215" s="10"/>
      <c r="D215" s="10"/>
      <c r="E215" s="11"/>
      <c r="F215" s="10"/>
      <c r="G215" s="10"/>
      <c r="H215" s="10"/>
      <c r="I215" s="10"/>
      <c r="J215" s="10"/>
      <c r="K215" s="12"/>
      <c r="L215" s="10"/>
      <c r="M215" s="10"/>
      <c r="N215" s="13"/>
      <c r="O215" s="10"/>
      <c r="P215" s="10"/>
      <c r="Q215" s="10"/>
      <c r="R215" s="18"/>
      <c r="S215" s="10"/>
      <c r="T215" s="10"/>
      <c r="U215" s="13"/>
      <c r="V215" s="13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3"/>
      <c r="AL215" s="14"/>
      <c r="AM215" s="15"/>
      <c r="AN215" s="15"/>
      <c r="AO215" s="13"/>
      <c r="AP215" s="13"/>
      <c r="AQ215" s="16"/>
      <c r="AR215" s="10"/>
      <c r="AS215" s="10"/>
      <c r="AT215" s="10"/>
      <c r="AU215" s="10"/>
      <c r="AV215" s="11"/>
      <c r="AW215" s="11"/>
      <c r="AX215" s="10"/>
      <c r="AY215" s="11"/>
      <c r="AZ215" s="11"/>
      <c r="BA215" s="11"/>
      <c r="BB215" s="10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  <c r="BV215" s="11"/>
      <c r="BW215" s="11"/>
      <c r="BX215" s="11"/>
      <c r="BY215" s="11"/>
      <c r="BZ215" s="11"/>
      <c r="CA215" s="11"/>
      <c r="CB215" s="11"/>
      <c r="CC215" s="17"/>
      <c r="CD215" s="17"/>
      <c r="CE215" s="11"/>
      <c r="CF215" s="13"/>
      <c r="CG215" s="13"/>
      <c r="CH215" s="13"/>
      <c r="CI215" s="13"/>
      <c r="CJ215" s="13"/>
    </row>
    <row r="216" spans="1:88" s="9" customFormat="1" x14ac:dyDescent="0.25">
      <c r="A216" s="10"/>
      <c r="B216" s="10"/>
      <c r="C216" s="10"/>
      <c r="D216" s="10"/>
      <c r="E216" s="11"/>
      <c r="F216" s="10"/>
      <c r="G216" s="10"/>
      <c r="H216" s="10"/>
      <c r="I216" s="10"/>
      <c r="J216" s="10"/>
      <c r="K216" s="12"/>
      <c r="L216" s="10"/>
      <c r="M216" s="10"/>
      <c r="N216" s="13"/>
      <c r="O216" s="10"/>
      <c r="P216" s="10"/>
      <c r="Q216" s="10"/>
      <c r="R216" s="18"/>
      <c r="S216" s="10"/>
      <c r="T216" s="10"/>
      <c r="U216" s="13"/>
      <c r="V216" s="13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3"/>
      <c r="AL216" s="14"/>
      <c r="AM216" s="15"/>
      <c r="AN216" s="15"/>
      <c r="AO216" s="13"/>
      <c r="AP216" s="13"/>
      <c r="AQ216" s="16"/>
      <c r="AR216" s="10"/>
      <c r="AS216" s="10"/>
      <c r="AT216" s="10"/>
      <c r="AU216" s="10"/>
      <c r="AV216" s="11"/>
      <c r="AW216" s="11"/>
      <c r="AX216" s="10"/>
      <c r="AY216" s="11"/>
      <c r="AZ216" s="11"/>
      <c r="BA216" s="11"/>
      <c r="BB216" s="10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  <c r="BV216" s="11"/>
      <c r="BW216" s="11"/>
      <c r="BX216" s="11"/>
      <c r="BY216" s="11"/>
      <c r="BZ216" s="11"/>
      <c r="CA216" s="11"/>
      <c r="CB216" s="11"/>
      <c r="CC216" s="17"/>
      <c r="CD216" s="17"/>
      <c r="CE216" s="11"/>
      <c r="CF216" s="13"/>
      <c r="CG216" s="13"/>
      <c r="CH216" s="13"/>
      <c r="CI216" s="13"/>
      <c r="CJ216" s="13"/>
    </row>
    <row r="217" spans="1:88" s="9" customFormat="1" x14ac:dyDescent="0.25">
      <c r="A217" s="10"/>
      <c r="B217" s="10"/>
      <c r="C217" s="10"/>
      <c r="D217" s="10"/>
      <c r="E217" s="11"/>
      <c r="F217" s="10"/>
      <c r="G217" s="10"/>
      <c r="H217" s="10"/>
      <c r="I217" s="10"/>
      <c r="J217" s="10"/>
      <c r="K217" s="12"/>
      <c r="L217" s="10"/>
      <c r="M217" s="10"/>
      <c r="N217" s="13"/>
      <c r="O217" s="10"/>
      <c r="P217" s="10"/>
      <c r="Q217" s="10"/>
      <c r="R217" s="18"/>
      <c r="S217" s="10"/>
      <c r="T217" s="10"/>
      <c r="U217" s="13"/>
      <c r="V217" s="13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3"/>
      <c r="AL217" s="14"/>
      <c r="AM217" s="15"/>
      <c r="AN217" s="15"/>
      <c r="AO217" s="13"/>
      <c r="AP217" s="13"/>
      <c r="AQ217" s="16"/>
      <c r="AR217" s="10"/>
      <c r="AS217" s="10"/>
      <c r="AT217" s="10"/>
      <c r="AU217" s="10"/>
      <c r="AV217" s="11"/>
      <c r="AW217" s="11"/>
      <c r="AX217" s="10"/>
      <c r="AY217" s="11"/>
      <c r="AZ217" s="11"/>
      <c r="BA217" s="11"/>
      <c r="BB217" s="10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  <c r="BU217" s="11"/>
      <c r="BV217" s="11"/>
      <c r="BW217" s="11"/>
      <c r="BX217" s="11"/>
      <c r="BY217" s="11"/>
      <c r="BZ217" s="11"/>
      <c r="CA217" s="11"/>
      <c r="CB217" s="11"/>
      <c r="CC217" s="17"/>
      <c r="CD217" s="17"/>
      <c r="CE217" s="11"/>
      <c r="CF217" s="13"/>
      <c r="CG217" s="13"/>
      <c r="CH217" s="13"/>
      <c r="CI217" s="13"/>
      <c r="CJ217" s="13"/>
    </row>
    <row r="218" spans="1:88" s="9" customFormat="1" x14ac:dyDescent="0.25">
      <c r="A218" s="10"/>
      <c r="B218" s="10"/>
      <c r="C218" s="10"/>
      <c r="D218" s="10"/>
      <c r="E218" s="11"/>
      <c r="F218" s="10"/>
      <c r="G218" s="10"/>
      <c r="H218" s="10"/>
      <c r="I218" s="10"/>
      <c r="J218" s="10"/>
      <c r="K218" s="12"/>
      <c r="L218" s="10"/>
      <c r="M218" s="10"/>
      <c r="N218" s="13"/>
      <c r="O218" s="10"/>
      <c r="P218" s="10"/>
      <c r="Q218" s="10"/>
      <c r="R218" s="18"/>
      <c r="S218" s="10"/>
      <c r="T218" s="10"/>
      <c r="U218" s="13"/>
      <c r="V218" s="13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3"/>
      <c r="AL218" s="14"/>
      <c r="AM218" s="15"/>
      <c r="AN218" s="15"/>
      <c r="AO218" s="13"/>
      <c r="AP218" s="13"/>
      <c r="AQ218" s="16"/>
      <c r="AR218" s="10"/>
      <c r="AS218" s="10"/>
      <c r="AT218" s="10"/>
      <c r="AU218" s="10"/>
      <c r="AV218" s="11"/>
      <c r="AW218" s="11"/>
      <c r="AX218" s="10"/>
      <c r="AY218" s="11"/>
      <c r="AZ218" s="11"/>
      <c r="BA218" s="11"/>
      <c r="BB218" s="10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  <c r="BU218" s="11"/>
      <c r="BV218" s="11"/>
      <c r="BW218" s="11"/>
      <c r="BX218" s="11"/>
      <c r="BY218" s="11"/>
      <c r="BZ218" s="11"/>
      <c r="CA218" s="11"/>
      <c r="CB218" s="11"/>
      <c r="CC218" s="17"/>
      <c r="CD218" s="17"/>
      <c r="CE218" s="11"/>
      <c r="CF218" s="13"/>
      <c r="CG218" s="13"/>
      <c r="CH218" s="13"/>
      <c r="CI218" s="13"/>
      <c r="CJ218" s="13"/>
    </row>
    <row r="219" spans="1:88" s="9" customFormat="1" x14ac:dyDescent="0.25">
      <c r="A219" s="10"/>
      <c r="B219" s="10"/>
      <c r="C219" s="10"/>
      <c r="D219" s="10"/>
      <c r="E219" s="11"/>
      <c r="F219" s="10"/>
      <c r="G219" s="10"/>
      <c r="H219" s="10"/>
      <c r="I219" s="10"/>
      <c r="J219" s="10"/>
      <c r="K219" s="12"/>
      <c r="L219" s="10"/>
      <c r="M219" s="10"/>
      <c r="N219" s="13"/>
      <c r="O219" s="10"/>
      <c r="P219" s="10"/>
      <c r="Q219" s="10"/>
      <c r="R219" s="18"/>
      <c r="S219" s="10"/>
      <c r="T219" s="10"/>
      <c r="U219" s="13"/>
      <c r="V219" s="13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3"/>
      <c r="AL219" s="14"/>
      <c r="AM219" s="15"/>
      <c r="AN219" s="15"/>
      <c r="AO219" s="13"/>
      <c r="AP219" s="13"/>
      <c r="AQ219" s="16"/>
      <c r="AR219" s="10"/>
      <c r="AS219" s="10"/>
      <c r="AT219" s="10"/>
      <c r="AU219" s="10"/>
      <c r="AV219" s="11"/>
      <c r="AW219" s="11"/>
      <c r="AX219" s="10"/>
      <c r="AY219" s="11"/>
      <c r="AZ219" s="11"/>
      <c r="BA219" s="11"/>
      <c r="BB219" s="10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  <c r="BU219" s="11"/>
      <c r="BV219" s="11"/>
      <c r="BW219" s="11"/>
      <c r="BX219" s="11"/>
      <c r="BY219" s="11"/>
      <c r="BZ219" s="11"/>
      <c r="CA219" s="11"/>
      <c r="CB219" s="11"/>
      <c r="CC219" s="17"/>
      <c r="CD219" s="17"/>
      <c r="CE219" s="11"/>
      <c r="CF219" s="13"/>
      <c r="CG219" s="13"/>
      <c r="CH219" s="13"/>
      <c r="CI219" s="13"/>
      <c r="CJ219" s="13"/>
    </row>
    <row r="220" spans="1:88" s="9" customFormat="1" x14ac:dyDescent="0.25">
      <c r="A220" s="10"/>
      <c r="B220" s="10"/>
      <c r="C220" s="10"/>
      <c r="D220" s="10"/>
      <c r="E220" s="11"/>
      <c r="F220" s="10"/>
      <c r="G220" s="10"/>
      <c r="H220" s="10"/>
      <c r="I220" s="10"/>
      <c r="J220" s="10"/>
      <c r="K220" s="12"/>
      <c r="L220" s="10"/>
      <c r="M220" s="10"/>
      <c r="N220" s="13"/>
      <c r="O220" s="10"/>
      <c r="P220" s="10"/>
      <c r="Q220" s="10"/>
      <c r="R220" s="18"/>
      <c r="S220" s="10"/>
      <c r="T220" s="10"/>
      <c r="U220" s="13"/>
      <c r="V220" s="13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3"/>
      <c r="AL220" s="14"/>
      <c r="AM220" s="15"/>
      <c r="AN220" s="15"/>
      <c r="AO220" s="13"/>
      <c r="AP220" s="13"/>
      <c r="AQ220" s="16"/>
      <c r="AR220" s="10"/>
      <c r="AS220" s="10"/>
      <c r="AT220" s="10"/>
      <c r="AU220" s="10"/>
      <c r="AV220" s="11"/>
      <c r="AW220" s="11"/>
      <c r="AX220" s="10"/>
      <c r="AY220" s="11"/>
      <c r="AZ220" s="11"/>
      <c r="BA220" s="11"/>
      <c r="BB220" s="10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  <c r="BU220" s="11"/>
      <c r="BV220" s="11"/>
      <c r="BW220" s="11"/>
      <c r="BX220" s="11"/>
      <c r="BY220" s="11"/>
      <c r="BZ220" s="11"/>
      <c r="CA220" s="11"/>
      <c r="CB220" s="11"/>
      <c r="CC220" s="17"/>
      <c r="CD220" s="17"/>
      <c r="CE220" s="11"/>
      <c r="CF220" s="13"/>
      <c r="CG220" s="13"/>
      <c r="CH220" s="13"/>
      <c r="CI220" s="13"/>
      <c r="CJ220" s="13"/>
    </row>
    <row r="221" spans="1:88" s="9" customFormat="1" x14ac:dyDescent="0.25">
      <c r="A221" s="10"/>
      <c r="B221" s="10"/>
      <c r="C221" s="10"/>
      <c r="D221" s="10"/>
      <c r="E221" s="11"/>
      <c r="F221" s="10"/>
      <c r="G221" s="10"/>
      <c r="H221" s="10"/>
      <c r="I221" s="10"/>
      <c r="J221" s="10"/>
      <c r="K221" s="12"/>
      <c r="L221" s="10"/>
      <c r="M221" s="10"/>
      <c r="N221" s="13"/>
      <c r="O221" s="10"/>
      <c r="P221" s="10"/>
      <c r="Q221" s="10"/>
      <c r="R221" s="18"/>
      <c r="S221" s="10"/>
      <c r="T221" s="10"/>
      <c r="U221" s="13"/>
      <c r="V221" s="13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3"/>
      <c r="AL221" s="14"/>
      <c r="AM221" s="15"/>
      <c r="AN221" s="15"/>
      <c r="AO221" s="13"/>
      <c r="AP221" s="13"/>
      <c r="AQ221" s="16"/>
      <c r="AR221" s="10"/>
      <c r="AS221" s="10"/>
      <c r="AT221" s="10"/>
      <c r="AU221" s="10"/>
      <c r="AV221" s="11"/>
      <c r="AW221" s="11"/>
      <c r="AX221" s="10"/>
      <c r="AY221" s="11"/>
      <c r="AZ221" s="11"/>
      <c r="BA221" s="11"/>
      <c r="BB221" s="10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7"/>
      <c r="CD221" s="17"/>
      <c r="CE221" s="11"/>
      <c r="CF221" s="13"/>
      <c r="CG221" s="13"/>
      <c r="CH221" s="13"/>
      <c r="CI221" s="13"/>
      <c r="CJ221" s="13"/>
    </row>
    <row r="222" spans="1:88" s="9" customFormat="1" x14ac:dyDescent="0.25">
      <c r="A222" s="10"/>
      <c r="B222" s="10"/>
      <c r="C222" s="10"/>
      <c r="D222" s="10"/>
      <c r="E222" s="11"/>
      <c r="F222" s="10"/>
      <c r="G222" s="10"/>
      <c r="H222" s="10"/>
      <c r="I222" s="10"/>
      <c r="J222" s="10"/>
      <c r="K222" s="12"/>
      <c r="L222" s="10"/>
      <c r="M222" s="10"/>
      <c r="N222" s="13"/>
      <c r="O222" s="10"/>
      <c r="P222" s="10"/>
      <c r="Q222" s="10"/>
      <c r="R222" s="18"/>
      <c r="S222" s="10"/>
      <c r="T222" s="10"/>
      <c r="U222" s="13"/>
      <c r="V222" s="13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3"/>
      <c r="AL222" s="14"/>
      <c r="AM222" s="15"/>
      <c r="AN222" s="15"/>
      <c r="AO222" s="13"/>
      <c r="AP222" s="13"/>
      <c r="AQ222" s="16"/>
      <c r="AR222" s="10"/>
      <c r="AS222" s="10"/>
      <c r="AT222" s="10"/>
      <c r="AU222" s="10"/>
      <c r="AV222" s="11"/>
      <c r="AW222" s="11"/>
      <c r="AX222" s="10"/>
      <c r="AY222" s="11"/>
      <c r="AZ222" s="11"/>
      <c r="BA222" s="11"/>
      <c r="BB222" s="10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  <c r="BU222" s="11"/>
      <c r="BV222" s="11"/>
      <c r="BW222" s="11"/>
      <c r="BX222" s="11"/>
      <c r="BY222" s="11"/>
      <c r="BZ222" s="11"/>
      <c r="CA222" s="11"/>
      <c r="CB222" s="11"/>
      <c r="CC222" s="17"/>
      <c r="CD222" s="17"/>
      <c r="CE222" s="11"/>
      <c r="CF222" s="13"/>
      <c r="CG222" s="13"/>
      <c r="CH222" s="13"/>
      <c r="CI222" s="13"/>
      <c r="CJ222" s="13"/>
    </row>
    <row r="223" spans="1:88" s="9" customFormat="1" x14ac:dyDescent="0.25">
      <c r="A223" s="10"/>
      <c r="B223" s="10"/>
      <c r="C223" s="10"/>
      <c r="D223" s="10"/>
      <c r="E223" s="11"/>
      <c r="F223" s="10"/>
      <c r="G223" s="10"/>
      <c r="H223" s="10"/>
      <c r="I223" s="10"/>
      <c r="J223" s="10"/>
      <c r="K223" s="12"/>
      <c r="L223" s="10"/>
      <c r="M223" s="10"/>
      <c r="N223" s="13"/>
      <c r="O223" s="10"/>
      <c r="P223" s="10"/>
      <c r="Q223" s="10"/>
      <c r="R223" s="18"/>
      <c r="S223" s="10"/>
      <c r="T223" s="10"/>
      <c r="U223" s="13"/>
      <c r="V223" s="13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3"/>
      <c r="AL223" s="14"/>
      <c r="AM223" s="15"/>
      <c r="AN223" s="15"/>
      <c r="AO223" s="13"/>
      <c r="AP223" s="13"/>
      <c r="AQ223" s="16"/>
      <c r="AR223" s="10"/>
      <c r="AS223" s="10"/>
      <c r="AT223" s="10"/>
      <c r="AU223" s="10"/>
      <c r="AV223" s="11"/>
      <c r="AW223" s="11"/>
      <c r="AX223" s="10"/>
      <c r="AY223" s="11"/>
      <c r="AZ223" s="11"/>
      <c r="BA223" s="11"/>
      <c r="BB223" s="10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  <c r="BU223" s="11"/>
      <c r="BV223" s="11"/>
      <c r="BW223" s="11"/>
      <c r="BX223" s="11"/>
      <c r="BY223" s="11"/>
      <c r="BZ223" s="11"/>
      <c r="CA223" s="11"/>
      <c r="CB223" s="11"/>
      <c r="CC223" s="17"/>
      <c r="CD223" s="17"/>
      <c r="CE223" s="11"/>
      <c r="CF223" s="13"/>
      <c r="CG223" s="13"/>
      <c r="CH223" s="13"/>
      <c r="CI223" s="13"/>
      <c r="CJ223" s="13"/>
    </row>
    <row r="224" spans="1:88" s="9" customFormat="1" x14ac:dyDescent="0.25">
      <c r="A224" s="10"/>
      <c r="B224" s="10"/>
      <c r="C224" s="10"/>
      <c r="D224" s="10"/>
      <c r="E224" s="11"/>
      <c r="F224" s="10"/>
      <c r="G224" s="10"/>
      <c r="H224" s="10"/>
      <c r="I224" s="10"/>
      <c r="J224" s="10"/>
      <c r="K224" s="12"/>
      <c r="L224" s="10"/>
      <c r="M224" s="10"/>
      <c r="N224" s="13"/>
      <c r="O224" s="10"/>
      <c r="P224" s="10"/>
      <c r="Q224" s="10"/>
      <c r="R224" s="18"/>
      <c r="S224" s="10"/>
      <c r="T224" s="10"/>
      <c r="U224" s="13"/>
      <c r="V224" s="13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3"/>
      <c r="AL224" s="14"/>
      <c r="AM224" s="15"/>
      <c r="AN224" s="15"/>
      <c r="AO224" s="13"/>
      <c r="AP224" s="13"/>
      <c r="AQ224" s="16"/>
      <c r="AR224" s="10"/>
      <c r="AS224" s="10"/>
      <c r="AT224" s="10"/>
      <c r="AU224" s="10"/>
      <c r="AV224" s="11"/>
      <c r="AW224" s="11"/>
      <c r="AX224" s="10"/>
      <c r="AY224" s="11"/>
      <c r="AZ224" s="11"/>
      <c r="BA224" s="11"/>
      <c r="BB224" s="10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  <c r="BU224" s="11"/>
      <c r="BV224" s="11"/>
      <c r="BW224" s="11"/>
      <c r="BX224" s="11"/>
      <c r="BY224" s="11"/>
      <c r="BZ224" s="11"/>
      <c r="CA224" s="11"/>
      <c r="CB224" s="11"/>
      <c r="CC224" s="17"/>
      <c r="CD224" s="17"/>
      <c r="CE224" s="11"/>
      <c r="CF224" s="13"/>
      <c r="CG224" s="13"/>
      <c r="CH224" s="13"/>
      <c r="CI224" s="13"/>
      <c r="CJ224" s="13"/>
    </row>
    <row r="225" spans="1:88" s="9" customFormat="1" x14ac:dyDescent="0.25">
      <c r="A225" s="10"/>
      <c r="B225" s="10"/>
      <c r="C225" s="10"/>
      <c r="D225" s="10"/>
      <c r="E225" s="11"/>
      <c r="F225" s="10"/>
      <c r="G225" s="10"/>
      <c r="H225" s="10"/>
      <c r="I225" s="10"/>
      <c r="J225" s="10"/>
      <c r="K225" s="12"/>
      <c r="L225" s="10"/>
      <c r="M225" s="10"/>
      <c r="N225" s="13"/>
      <c r="O225" s="10"/>
      <c r="P225" s="10"/>
      <c r="Q225" s="10"/>
      <c r="R225" s="18"/>
      <c r="S225" s="10"/>
      <c r="T225" s="10"/>
      <c r="U225" s="13"/>
      <c r="V225" s="13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3"/>
      <c r="AL225" s="14"/>
      <c r="AM225" s="15"/>
      <c r="AN225" s="15"/>
      <c r="AO225" s="13"/>
      <c r="AP225" s="13"/>
      <c r="AQ225" s="16"/>
      <c r="AR225" s="10"/>
      <c r="AS225" s="10"/>
      <c r="AT225" s="10"/>
      <c r="AU225" s="10"/>
      <c r="AV225" s="11"/>
      <c r="AW225" s="11"/>
      <c r="AX225" s="10"/>
      <c r="AY225" s="11"/>
      <c r="AZ225" s="11"/>
      <c r="BA225" s="11"/>
      <c r="BB225" s="10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7"/>
      <c r="CD225" s="17"/>
      <c r="CE225" s="11"/>
      <c r="CF225" s="13"/>
      <c r="CG225" s="13"/>
      <c r="CH225" s="13"/>
      <c r="CI225" s="13"/>
      <c r="CJ225" s="13"/>
    </row>
    <row r="226" spans="1:88" s="9" customFormat="1" x14ac:dyDescent="0.25">
      <c r="A226" s="10"/>
      <c r="B226" s="10"/>
      <c r="C226" s="10"/>
      <c r="D226" s="10"/>
      <c r="E226" s="11"/>
      <c r="F226" s="10"/>
      <c r="G226" s="10"/>
      <c r="H226" s="10"/>
      <c r="I226" s="10"/>
      <c r="J226" s="10"/>
      <c r="K226" s="12"/>
      <c r="L226" s="10"/>
      <c r="M226" s="10"/>
      <c r="N226" s="13"/>
      <c r="O226" s="10"/>
      <c r="P226" s="10"/>
      <c r="Q226" s="10"/>
      <c r="R226" s="18"/>
      <c r="S226" s="10"/>
      <c r="T226" s="10"/>
      <c r="U226" s="13"/>
      <c r="V226" s="13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3"/>
      <c r="AL226" s="14"/>
      <c r="AM226" s="15"/>
      <c r="AN226" s="15"/>
      <c r="AO226" s="13"/>
      <c r="AP226" s="13"/>
      <c r="AQ226" s="16"/>
      <c r="AR226" s="10"/>
      <c r="AS226" s="10"/>
      <c r="AT226" s="10"/>
      <c r="AU226" s="10"/>
      <c r="AV226" s="11"/>
      <c r="AW226" s="11"/>
      <c r="AX226" s="10"/>
      <c r="AY226" s="11"/>
      <c r="AZ226" s="11"/>
      <c r="BA226" s="11"/>
      <c r="BB226" s="10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  <c r="BV226" s="11"/>
      <c r="BW226" s="11"/>
      <c r="BX226" s="11"/>
      <c r="BY226" s="11"/>
      <c r="BZ226" s="11"/>
      <c r="CA226" s="11"/>
      <c r="CB226" s="11"/>
      <c r="CC226" s="17"/>
      <c r="CD226" s="17"/>
      <c r="CE226" s="11"/>
      <c r="CF226" s="13"/>
      <c r="CG226" s="13"/>
      <c r="CH226" s="13"/>
      <c r="CI226" s="13"/>
      <c r="CJ226" s="13"/>
    </row>
    <row r="227" spans="1:88" s="9" customFormat="1" x14ac:dyDescent="0.25">
      <c r="A227" s="10"/>
      <c r="B227" s="10"/>
      <c r="C227" s="10"/>
      <c r="D227" s="10"/>
      <c r="E227" s="11"/>
      <c r="F227" s="10"/>
      <c r="G227" s="10"/>
      <c r="H227" s="10"/>
      <c r="I227" s="10"/>
      <c r="J227" s="10"/>
      <c r="K227" s="12"/>
      <c r="L227" s="10"/>
      <c r="M227" s="10"/>
      <c r="N227" s="13"/>
      <c r="O227" s="10"/>
      <c r="P227" s="10"/>
      <c r="Q227" s="10"/>
      <c r="R227" s="18"/>
      <c r="S227" s="10"/>
      <c r="T227" s="10"/>
      <c r="U227" s="13"/>
      <c r="V227" s="13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3"/>
      <c r="AL227" s="14"/>
      <c r="AM227" s="15"/>
      <c r="AN227" s="15"/>
      <c r="AO227" s="13"/>
      <c r="AP227" s="13"/>
      <c r="AQ227" s="16"/>
      <c r="AR227" s="10"/>
      <c r="AS227" s="10"/>
      <c r="AT227" s="10"/>
      <c r="AU227" s="10"/>
      <c r="AV227" s="11"/>
      <c r="AW227" s="11"/>
      <c r="AX227" s="10"/>
      <c r="AY227" s="11"/>
      <c r="AZ227" s="11"/>
      <c r="BA227" s="11"/>
      <c r="BB227" s="10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7"/>
      <c r="CD227" s="17"/>
      <c r="CE227" s="11"/>
      <c r="CF227" s="13"/>
      <c r="CG227" s="13"/>
      <c r="CH227" s="13"/>
      <c r="CI227" s="13"/>
      <c r="CJ227" s="13"/>
    </row>
    <row r="228" spans="1:88" s="9" customFormat="1" x14ac:dyDescent="0.25">
      <c r="A228" s="10"/>
      <c r="B228" s="10"/>
      <c r="C228" s="10"/>
      <c r="D228" s="10"/>
      <c r="E228" s="11"/>
      <c r="F228" s="10"/>
      <c r="G228" s="10"/>
      <c r="H228" s="10"/>
      <c r="I228" s="10"/>
      <c r="J228" s="10"/>
      <c r="K228" s="12"/>
      <c r="L228" s="10"/>
      <c r="M228" s="10"/>
      <c r="N228" s="13"/>
      <c r="O228" s="10"/>
      <c r="P228" s="10"/>
      <c r="Q228" s="10"/>
      <c r="R228" s="18"/>
      <c r="S228" s="10"/>
      <c r="T228" s="10"/>
      <c r="U228" s="13"/>
      <c r="V228" s="13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3"/>
      <c r="AL228" s="14"/>
      <c r="AM228" s="15"/>
      <c r="AN228" s="15"/>
      <c r="AO228" s="13"/>
      <c r="AP228" s="13"/>
      <c r="AQ228" s="16"/>
      <c r="AR228" s="10"/>
      <c r="AS228" s="10"/>
      <c r="AT228" s="10"/>
      <c r="AU228" s="10"/>
      <c r="AV228" s="11"/>
      <c r="AW228" s="11"/>
      <c r="AX228" s="10"/>
      <c r="AY228" s="11"/>
      <c r="AZ228" s="11"/>
      <c r="BA228" s="11"/>
      <c r="BB228" s="10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  <c r="BU228" s="11"/>
      <c r="BV228" s="11"/>
      <c r="BW228" s="11"/>
      <c r="BX228" s="11"/>
      <c r="BY228" s="11"/>
      <c r="BZ228" s="11"/>
      <c r="CA228" s="11"/>
      <c r="CB228" s="11"/>
      <c r="CC228" s="17"/>
      <c r="CD228" s="17"/>
      <c r="CE228" s="11"/>
      <c r="CF228" s="13"/>
      <c r="CG228" s="13"/>
      <c r="CH228" s="13"/>
      <c r="CI228" s="13"/>
      <c r="CJ228" s="13"/>
    </row>
    <row r="229" spans="1:88" s="9" customFormat="1" x14ac:dyDescent="0.25">
      <c r="A229" s="10"/>
      <c r="B229" s="10"/>
      <c r="C229" s="10"/>
      <c r="D229" s="10"/>
      <c r="E229" s="11"/>
      <c r="F229" s="10"/>
      <c r="G229" s="10"/>
      <c r="H229" s="10"/>
      <c r="I229" s="10"/>
      <c r="J229" s="10"/>
      <c r="K229" s="12"/>
      <c r="L229" s="10"/>
      <c r="M229" s="10"/>
      <c r="N229" s="13"/>
      <c r="O229" s="10"/>
      <c r="P229" s="10"/>
      <c r="Q229" s="10"/>
      <c r="R229" s="18"/>
      <c r="S229" s="10"/>
      <c r="T229" s="10"/>
      <c r="U229" s="13"/>
      <c r="V229" s="13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3"/>
      <c r="AL229" s="14"/>
      <c r="AM229" s="15"/>
      <c r="AN229" s="15"/>
      <c r="AO229" s="13"/>
      <c r="AP229" s="13"/>
      <c r="AQ229" s="16"/>
      <c r="AR229" s="10"/>
      <c r="AS229" s="10"/>
      <c r="AT229" s="10"/>
      <c r="AU229" s="10"/>
      <c r="AV229" s="11"/>
      <c r="AW229" s="11"/>
      <c r="AX229" s="10"/>
      <c r="AY229" s="11"/>
      <c r="AZ229" s="11"/>
      <c r="BA229" s="11"/>
      <c r="BB229" s="10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  <c r="BQ229" s="11"/>
      <c r="BR229" s="11"/>
      <c r="BS229" s="11"/>
      <c r="BT229" s="11"/>
      <c r="BU229" s="11"/>
      <c r="BV229" s="11"/>
      <c r="BW229" s="11"/>
      <c r="BX229" s="11"/>
      <c r="BY229" s="11"/>
      <c r="BZ229" s="11"/>
      <c r="CA229" s="11"/>
      <c r="CB229" s="11"/>
      <c r="CC229" s="17"/>
      <c r="CD229" s="17"/>
      <c r="CE229" s="11"/>
      <c r="CF229" s="13"/>
      <c r="CG229" s="13"/>
      <c r="CH229" s="13"/>
      <c r="CI229" s="13"/>
      <c r="CJ229" s="13"/>
    </row>
    <row r="230" spans="1:88" s="9" customFormat="1" x14ac:dyDescent="0.25">
      <c r="A230" s="10"/>
      <c r="B230" s="10"/>
      <c r="C230" s="10"/>
      <c r="D230" s="10"/>
      <c r="E230" s="11"/>
      <c r="F230" s="10"/>
      <c r="G230" s="10"/>
      <c r="H230" s="10"/>
      <c r="I230" s="10"/>
      <c r="J230" s="10"/>
      <c r="K230" s="12"/>
      <c r="L230" s="10"/>
      <c r="M230" s="10"/>
      <c r="N230" s="13"/>
      <c r="O230" s="10"/>
      <c r="P230" s="10"/>
      <c r="Q230" s="10"/>
      <c r="R230" s="18"/>
      <c r="S230" s="10"/>
      <c r="T230" s="10"/>
      <c r="U230" s="13"/>
      <c r="V230" s="13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3"/>
      <c r="AL230" s="14"/>
      <c r="AM230" s="15"/>
      <c r="AN230" s="15"/>
      <c r="AO230" s="13"/>
      <c r="AP230" s="13"/>
      <c r="AQ230" s="16"/>
      <c r="AR230" s="10"/>
      <c r="AS230" s="10"/>
      <c r="AT230" s="10"/>
      <c r="AU230" s="10"/>
      <c r="AV230" s="11"/>
      <c r="AW230" s="11"/>
      <c r="AX230" s="10"/>
      <c r="AY230" s="11"/>
      <c r="AZ230" s="11"/>
      <c r="BA230" s="11"/>
      <c r="BB230" s="10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  <c r="BU230" s="11"/>
      <c r="BV230" s="11"/>
      <c r="BW230" s="11"/>
      <c r="BX230" s="11"/>
      <c r="BY230" s="11"/>
      <c r="BZ230" s="11"/>
      <c r="CA230" s="11"/>
      <c r="CB230" s="11"/>
      <c r="CC230" s="17"/>
      <c r="CD230" s="17"/>
      <c r="CE230" s="11"/>
      <c r="CF230" s="13"/>
      <c r="CG230" s="13"/>
      <c r="CH230" s="13"/>
      <c r="CI230" s="13"/>
      <c r="CJ230" s="13"/>
    </row>
    <row r="231" spans="1:88" s="9" customFormat="1" x14ac:dyDescent="0.25">
      <c r="A231" s="10"/>
      <c r="B231" s="10"/>
      <c r="C231" s="10"/>
      <c r="D231" s="10"/>
      <c r="E231" s="11"/>
      <c r="F231" s="10"/>
      <c r="G231" s="10"/>
      <c r="H231" s="10"/>
      <c r="I231" s="10"/>
      <c r="J231" s="10"/>
      <c r="K231" s="12"/>
      <c r="L231" s="10"/>
      <c r="M231" s="10"/>
      <c r="N231" s="13"/>
      <c r="O231" s="10"/>
      <c r="P231" s="10"/>
      <c r="Q231" s="10"/>
      <c r="R231" s="18"/>
      <c r="S231" s="10"/>
      <c r="T231" s="10"/>
      <c r="U231" s="13"/>
      <c r="V231" s="13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3"/>
      <c r="AL231" s="14"/>
      <c r="AM231" s="15"/>
      <c r="AN231" s="15"/>
      <c r="AO231" s="13"/>
      <c r="AP231" s="13"/>
      <c r="AQ231" s="16"/>
      <c r="AR231" s="10"/>
      <c r="AS231" s="10"/>
      <c r="AT231" s="10"/>
      <c r="AU231" s="10"/>
      <c r="AV231" s="11"/>
      <c r="AW231" s="11"/>
      <c r="AX231" s="10"/>
      <c r="AY231" s="11"/>
      <c r="AZ231" s="11"/>
      <c r="BA231" s="11"/>
      <c r="BB231" s="10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7"/>
      <c r="CD231" s="17"/>
      <c r="CE231" s="11"/>
      <c r="CF231" s="13"/>
      <c r="CG231" s="13"/>
      <c r="CH231" s="13"/>
      <c r="CI231" s="13"/>
      <c r="CJ231" s="13"/>
    </row>
    <row r="232" spans="1:88" s="9" customFormat="1" x14ac:dyDescent="0.25">
      <c r="A232" s="10"/>
      <c r="B232" s="10"/>
      <c r="C232" s="10"/>
      <c r="D232" s="10"/>
      <c r="E232" s="11"/>
      <c r="F232" s="10"/>
      <c r="G232" s="10"/>
      <c r="H232" s="10"/>
      <c r="I232" s="10"/>
      <c r="J232" s="10"/>
      <c r="K232" s="12"/>
      <c r="L232" s="10"/>
      <c r="M232" s="10"/>
      <c r="N232" s="13"/>
      <c r="O232" s="10"/>
      <c r="P232" s="10"/>
      <c r="Q232" s="10"/>
      <c r="R232" s="18"/>
      <c r="S232" s="10"/>
      <c r="T232" s="10"/>
      <c r="U232" s="13"/>
      <c r="V232" s="13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3"/>
      <c r="AL232" s="14"/>
      <c r="AM232" s="15"/>
      <c r="AN232" s="15"/>
      <c r="AO232" s="13"/>
      <c r="AP232" s="13"/>
      <c r="AQ232" s="16"/>
      <c r="AR232" s="10"/>
      <c r="AS232" s="10"/>
      <c r="AT232" s="10"/>
      <c r="AU232" s="10"/>
      <c r="AV232" s="11"/>
      <c r="AW232" s="11"/>
      <c r="AX232" s="10"/>
      <c r="AY232" s="11"/>
      <c r="AZ232" s="11"/>
      <c r="BA232" s="11"/>
      <c r="BB232" s="10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7"/>
      <c r="CD232" s="17"/>
      <c r="CE232" s="11"/>
      <c r="CF232" s="13"/>
      <c r="CG232" s="13"/>
      <c r="CH232" s="13"/>
      <c r="CI232" s="13"/>
      <c r="CJ232" s="13"/>
    </row>
    <row r="233" spans="1:88" s="9" customFormat="1" x14ac:dyDescent="0.25">
      <c r="A233" s="10"/>
      <c r="B233" s="10"/>
      <c r="C233" s="10"/>
      <c r="D233" s="10"/>
      <c r="E233" s="11"/>
      <c r="F233" s="10"/>
      <c r="G233" s="10"/>
      <c r="H233" s="10"/>
      <c r="I233" s="10"/>
      <c r="J233" s="10"/>
      <c r="K233" s="12"/>
      <c r="L233" s="10"/>
      <c r="M233" s="10"/>
      <c r="N233" s="13"/>
      <c r="O233" s="10"/>
      <c r="P233" s="10"/>
      <c r="Q233" s="10"/>
      <c r="R233" s="18"/>
      <c r="S233" s="10"/>
      <c r="T233" s="10"/>
      <c r="U233" s="13"/>
      <c r="V233" s="13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3"/>
      <c r="AL233" s="14"/>
      <c r="AM233" s="15"/>
      <c r="AN233" s="15"/>
      <c r="AO233" s="13"/>
      <c r="AP233" s="13"/>
      <c r="AQ233" s="16"/>
      <c r="AR233" s="10"/>
      <c r="AS233" s="10"/>
      <c r="AT233" s="10"/>
      <c r="AU233" s="10"/>
      <c r="AV233" s="11"/>
      <c r="AW233" s="11"/>
      <c r="AX233" s="10"/>
      <c r="AY233" s="11"/>
      <c r="AZ233" s="11"/>
      <c r="BA233" s="11"/>
      <c r="BB233" s="10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7"/>
      <c r="CD233" s="17"/>
      <c r="CE233" s="11"/>
      <c r="CF233" s="13"/>
      <c r="CG233" s="13"/>
      <c r="CH233" s="13"/>
      <c r="CI233" s="13"/>
      <c r="CJ233" s="13"/>
    </row>
    <row r="234" spans="1:88" s="9" customFormat="1" x14ac:dyDescent="0.25">
      <c r="A234" s="10"/>
      <c r="B234" s="10"/>
      <c r="C234" s="10"/>
      <c r="D234" s="10"/>
      <c r="E234" s="11"/>
      <c r="F234" s="10"/>
      <c r="G234" s="10"/>
      <c r="H234" s="10"/>
      <c r="I234" s="10"/>
      <c r="J234" s="10"/>
      <c r="K234" s="12"/>
      <c r="L234" s="10"/>
      <c r="M234" s="10"/>
      <c r="N234" s="13"/>
      <c r="O234" s="10"/>
      <c r="P234" s="10"/>
      <c r="Q234" s="10"/>
      <c r="R234" s="18"/>
      <c r="S234" s="10"/>
      <c r="T234" s="10"/>
      <c r="U234" s="13"/>
      <c r="V234" s="13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3"/>
      <c r="AL234" s="14"/>
      <c r="AM234" s="15"/>
      <c r="AN234" s="15"/>
      <c r="AO234" s="13"/>
      <c r="AP234" s="13"/>
      <c r="AQ234" s="16"/>
      <c r="AR234" s="10"/>
      <c r="AS234" s="10"/>
      <c r="AT234" s="10"/>
      <c r="AU234" s="10"/>
      <c r="AV234" s="11"/>
      <c r="AW234" s="11"/>
      <c r="AX234" s="10"/>
      <c r="AY234" s="11"/>
      <c r="AZ234" s="11"/>
      <c r="BA234" s="11"/>
      <c r="BB234" s="10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  <c r="BU234" s="11"/>
      <c r="BV234" s="11"/>
      <c r="BW234" s="11"/>
      <c r="BX234" s="11"/>
      <c r="BY234" s="11"/>
      <c r="BZ234" s="11"/>
      <c r="CA234" s="11"/>
      <c r="CB234" s="11"/>
      <c r="CC234" s="17"/>
      <c r="CD234" s="17"/>
      <c r="CE234" s="11"/>
      <c r="CF234" s="13"/>
      <c r="CG234" s="13"/>
      <c r="CH234" s="13"/>
      <c r="CI234" s="13"/>
      <c r="CJ234" s="13"/>
    </row>
    <row r="235" spans="1:88" s="9" customFormat="1" x14ac:dyDescent="0.25">
      <c r="A235" s="10"/>
      <c r="B235" s="10"/>
      <c r="C235" s="10"/>
      <c r="D235" s="10"/>
      <c r="E235" s="11"/>
      <c r="F235" s="10"/>
      <c r="G235" s="10"/>
      <c r="H235" s="10"/>
      <c r="I235" s="10"/>
      <c r="J235" s="10"/>
      <c r="K235" s="12"/>
      <c r="L235" s="10"/>
      <c r="M235" s="10"/>
      <c r="N235" s="13"/>
      <c r="O235" s="10"/>
      <c r="P235" s="10"/>
      <c r="Q235" s="10"/>
      <c r="R235" s="18"/>
      <c r="S235" s="10"/>
      <c r="T235" s="10"/>
      <c r="U235" s="13"/>
      <c r="V235" s="13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3"/>
      <c r="AL235" s="14"/>
      <c r="AM235" s="15"/>
      <c r="AN235" s="15"/>
      <c r="AO235" s="13"/>
      <c r="AP235" s="13"/>
      <c r="AQ235" s="16"/>
      <c r="AR235" s="10"/>
      <c r="AS235" s="10"/>
      <c r="AT235" s="10"/>
      <c r="AU235" s="10"/>
      <c r="AV235" s="11"/>
      <c r="AW235" s="11"/>
      <c r="AX235" s="10"/>
      <c r="AY235" s="11"/>
      <c r="AZ235" s="11"/>
      <c r="BA235" s="11"/>
      <c r="BB235" s="10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  <c r="BU235" s="11"/>
      <c r="BV235" s="11"/>
      <c r="BW235" s="11"/>
      <c r="BX235" s="11"/>
      <c r="BY235" s="11"/>
      <c r="BZ235" s="11"/>
      <c r="CA235" s="11"/>
      <c r="CB235" s="11"/>
      <c r="CC235" s="17"/>
      <c r="CD235" s="17"/>
      <c r="CE235" s="11"/>
      <c r="CF235" s="13"/>
      <c r="CG235" s="13"/>
      <c r="CH235" s="13"/>
      <c r="CI235" s="13"/>
      <c r="CJ235" s="13"/>
    </row>
    <row r="236" spans="1:88" s="9" customFormat="1" x14ac:dyDescent="0.25">
      <c r="A236" s="10"/>
      <c r="B236" s="10"/>
      <c r="C236" s="10"/>
      <c r="D236" s="10"/>
      <c r="E236" s="11"/>
      <c r="F236" s="10"/>
      <c r="G236" s="10"/>
      <c r="H236" s="10"/>
      <c r="I236" s="10"/>
      <c r="J236" s="10"/>
      <c r="K236" s="12"/>
      <c r="L236" s="10"/>
      <c r="M236" s="10"/>
      <c r="N236" s="13"/>
      <c r="O236" s="10"/>
      <c r="P236" s="10"/>
      <c r="Q236" s="10"/>
      <c r="R236" s="18"/>
      <c r="S236" s="10"/>
      <c r="T236" s="10"/>
      <c r="U236" s="13"/>
      <c r="V236" s="13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3"/>
      <c r="AL236" s="14"/>
      <c r="AM236" s="15"/>
      <c r="AN236" s="15"/>
      <c r="AO236" s="13"/>
      <c r="AP236" s="13"/>
      <c r="AQ236" s="16"/>
      <c r="AR236" s="10"/>
      <c r="AS236" s="10"/>
      <c r="AT236" s="10"/>
      <c r="AU236" s="10"/>
      <c r="AV236" s="11"/>
      <c r="AW236" s="11"/>
      <c r="AX236" s="10"/>
      <c r="AY236" s="11"/>
      <c r="AZ236" s="11"/>
      <c r="BA236" s="11"/>
      <c r="BB236" s="10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  <c r="BU236" s="11"/>
      <c r="BV236" s="11"/>
      <c r="BW236" s="11"/>
      <c r="BX236" s="11"/>
      <c r="BY236" s="11"/>
      <c r="BZ236" s="11"/>
      <c r="CA236" s="11"/>
      <c r="CB236" s="11"/>
      <c r="CC236" s="17"/>
      <c r="CD236" s="17"/>
      <c r="CE236" s="11"/>
      <c r="CF236" s="13"/>
      <c r="CG236" s="13"/>
      <c r="CH236" s="13"/>
      <c r="CI236" s="13"/>
      <c r="CJ236" s="13"/>
    </row>
    <row r="237" spans="1:88" s="9" customFormat="1" x14ac:dyDescent="0.25">
      <c r="A237" s="10"/>
      <c r="B237" s="10"/>
      <c r="C237" s="10"/>
      <c r="D237" s="10"/>
      <c r="E237" s="11"/>
      <c r="F237" s="10"/>
      <c r="G237" s="10"/>
      <c r="H237" s="10"/>
      <c r="I237" s="10"/>
      <c r="J237" s="10"/>
      <c r="K237" s="12"/>
      <c r="L237" s="10"/>
      <c r="M237" s="10"/>
      <c r="N237" s="13"/>
      <c r="O237" s="10"/>
      <c r="P237" s="10"/>
      <c r="Q237" s="10"/>
      <c r="R237" s="18"/>
      <c r="S237" s="10"/>
      <c r="T237" s="10"/>
      <c r="U237" s="13"/>
      <c r="V237" s="13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3"/>
      <c r="AL237" s="14"/>
      <c r="AM237" s="15"/>
      <c r="AN237" s="15"/>
      <c r="AO237" s="13"/>
      <c r="AP237" s="13"/>
      <c r="AQ237" s="16"/>
      <c r="AR237" s="10"/>
      <c r="AS237" s="10"/>
      <c r="AT237" s="10"/>
      <c r="AU237" s="10"/>
      <c r="AV237" s="11"/>
      <c r="AW237" s="11"/>
      <c r="AX237" s="10"/>
      <c r="AY237" s="11"/>
      <c r="AZ237" s="11"/>
      <c r="BA237" s="11"/>
      <c r="BB237" s="10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  <c r="BO237" s="11"/>
      <c r="BP237" s="11"/>
      <c r="BQ237" s="11"/>
      <c r="BR237" s="11"/>
      <c r="BS237" s="11"/>
      <c r="BT237" s="11"/>
      <c r="BU237" s="11"/>
      <c r="BV237" s="11"/>
      <c r="BW237" s="11"/>
      <c r="BX237" s="11"/>
      <c r="BY237" s="11"/>
      <c r="BZ237" s="11"/>
      <c r="CA237" s="11"/>
      <c r="CB237" s="11"/>
      <c r="CC237" s="17"/>
      <c r="CD237" s="17"/>
      <c r="CE237" s="11"/>
      <c r="CF237" s="13"/>
      <c r="CG237" s="13"/>
      <c r="CH237" s="13"/>
      <c r="CI237" s="13"/>
      <c r="CJ237" s="13"/>
    </row>
    <row r="238" spans="1:88" s="9" customFormat="1" x14ac:dyDescent="0.25">
      <c r="A238" s="10"/>
      <c r="B238" s="10"/>
      <c r="C238" s="10"/>
      <c r="D238" s="10"/>
      <c r="E238" s="11"/>
      <c r="F238" s="10"/>
      <c r="G238" s="10"/>
      <c r="H238" s="10"/>
      <c r="I238" s="10"/>
      <c r="J238" s="10"/>
      <c r="K238" s="12"/>
      <c r="L238" s="10"/>
      <c r="M238" s="10"/>
      <c r="N238" s="13"/>
      <c r="O238" s="10"/>
      <c r="P238" s="10"/>
      <c r="Q238" s="10"/>
      <c r="R238" s="18"/>
      <c r="S238" s="10"/>
      <c r="T238" s="10"/>
      <c r="U238" s="13"/>
      <c r="V238" s="13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3"/>
      <c r="AL238" s="14"/>
      <c r="AM238" s="15"/>
      <c r="AN238" s="15"/>
      <c r="AO238" s="13"/>
      <c r="AP238" s="13"/>
      <c r="AQ238" s="16"/>
      <c r="AR238" s="10"/>
      <c r="AS238" s="10"/>
      <c r="AT238" s="10"/>
      <c r="AU238" s="10"/>
      <c r="AV238" s="11"/>
      <c r="AW238" s="11"/>
      <c r="AX238" s="10"/>
      <c r="AY238" s="11"/>
      <c r="AZ238" s="11"/>
      <c r="BA238" s="11"/>
      <c r="BB238" s="10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  <c r="BU238" s="11"/>
      <c r="BV238" s="11"/>
      <c r="BW238" s="11"/>
      <c r="BX238" s="11"/>
      <c r="BY238" s="11"/>
      <c r="BZ238" s="11"/>
      <c r="CA238" s="11"/>
      <c r="CB238" s="11"/>
      <c r="CC238" s="17"/>
      <c r="CD238" s="17"/>
      <c r="CE238" s="11"/>
      <c r="CF238" s="13"/>
      <c r="CG238" s="13"/>
      <c r="CH238" s="13"/>
      <c r="CI238" s="13"/>
      <c r="CJ238" s="13"/>
    </row>
    <row r="239" spans="1:88" s="9" customFormat="1" x14ac:dyDescent="0.25">
      <c r="A239" s="10"/>
      <c r="B239" s="10"/>
      <c r="C239" s="10"/>
      <c r="D239" s="10"/>
      <c r="E239" s="11"/>
      <c r="F239" s="10"/>
      <c r="G239" s="10"/>
      <c r="H239" s="10"/>
      <c r="I239" s="10"/>
      <c r="J239" s="10"/>
      <c r="K239" s="12"/>
      <c r="L239" s="10"/>
      <c r="M239" s="10"/>
      <c r="N239" s="13"/>
      <c r="O239" s="10"/>
      <c r="P239" s="10"/>
      <c r="Q239" s="10"/>
      <c r="R239" s="18"/>
      <c r="S239" s="10"/>
      <c r="T239" s="10"/>
      <c r="U239" s="13"/>
      <c r="V239" s="13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3"/>
      <c r="AL239" s="14"/>
      <c r="AM239" s="15"/>
      <c r="AN239" s="15"/>
      <c r="AO239" s="13"/>
      <c r="AP239" s="13"/>
      <c r="AQ239" s="16"/>
      <c r="AR239" s="10"/>
      <c r="AS239" s="10"/>
      <c r="AT239" s="10"/>
      <c r="AU239" s="10"/>
      <c r="AV239" s="11"/>
      <c r="AW239" s="11"/>
      <c r="AX239" s="10"/>
      <c r="AY239" s="11"/>
      <c r="AZ239" s="11"/>
      <c r="BA239" s="11"/>
      <c r="BB239" s="10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  <c r="BU239" s="11"/>
      <c r="BV239" s="11"/>
      <c r="BW239" s="11"/>
      <c r="BX239" s="11"/>
      <c r="BY239" s="11"/>
      <c r="BZ239" s="11"/>
      <c r="CA239" s="11"/>
      <c r="CB239" s="11"/>
      <c r="CC239" s="17"/>
      <c r="CD239" s="17"/>
      <c r="CE239" s="11"/>
      <c r="CF239" s="13"/>
      <c r="CG239" s="13"/>
      <c r="CH239" s="13"/>
      <c r="CI239" s="13"/>
      <c r="CJ239" s="13"/>
    </row>
    <row r="240" spans="1:88" s="9" customFormat="1" x14ac:dyDescent="0.25">
      <c r="A240" s="10"/>
      <c r="B240" s="10"/>
      <c r="C240" s="10"/>
      <c r="D240" s="10"/>
      <c r="E240" s="11"/>
      <c r="F240" s="10"/>
      <c r="G240" s="10"/>
      <c r="H240" s="10"/>
      <c r="I240" s="10"/>
      <c r="J240" s="10"/>
      <c r="K240" s="12"/>
      <c r="L240" s="10"/>
      <c r="M240" s="10"/>
      <c r="N240" s="13"/>
      <c r="O240" s="10"/>
      <c r="P240" s="10"/>
      <c r="Q240" s="10"/>
      <c r="R240" s="18"/>
      <c r="S240" s="10"/>
      <c r="T240" s="10"/>
      <c r="U240" s="13"/>
      <c r="V240" s="13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3"/>
      <c r="AL240" s="14"/>
      <c r="AM240" s="15"/>
      <c r="AN240" s="15"/>
      <c r="AO240" s="13"/>
      <c r="AP240" s="13"/>
      <c r="AQ240" s="16"/>
      <c r="AR240" s="10"/>
      <c r="AS240" s="10"/>
      <c r="AT240" s="10"/>
      <c r="AU240" s="10"/>
      <c r="AV240" s="11"/>
      <c r="AW240" s="11"/>
      <c r="AX240" s="10"/>
      <c r="AY240" s="11"/>
      <c r="AZ240" s="11"/>
      <c r="BA240" s="11"/>
      <c r="BB240" s="10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  <c r="BV240" s="11"/>
      <c r="BW240" s="11"/>
      <c r="BX240" s="11"/>
      <c r="BY240" s="11"/>
      <c r="BZ240" s="11"/>
      <c r="CA240" s="11"/>
      <c r="CB240" s="11"/>
      <c r="CC240" s="17"/>
      <c r="CD240" s="17"/>
      <c r="CE240" s="11"/>
      <c r="CF240" s="13"/>
      <c r="CG240" s="13"/>
      <c r="CH240" s="13"/>
      <c r="CI240" s="13"/>
      <c r="CJ240" s="13"/>
    </row>
    <row r="241" spans="1:88" s="9" customFormat="1" x14ac:dyDescent="0.25">
      <c r="A241" s="10"/>
      <c r="B241" s="10"/>
      <c r="C241" s="10"/>
      <c r="D241" s="10"/>
      <c r="E241" s="11"/>
      <c r="F241" s="10"/>
      <c r="G241" s="10"/>
      <c r="H241" s="10"/>
      <c r="I241" s="10"/>
      <c r="J241" s="10"/>
      <c r="K241" s="12"/>
      <c r="L241" s="10"/>
      <c r="M241" s="10"/>
      <c r="N241" s="13"/>
      <c r="O241" s="10"/>
      <c r="P241" s="10"/>
      <c r="Q241" s="10"/>
      <c r="R241" s="18"/>
      <c r="S241" s="10"/>
      <c r="T241" s="10"/>
      <c r="U241" s="13"/>
      <c r="V241" s="13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3"/>
      <c r="AL241" s="14"/>
      <c r="AM241" s="15"/>
      <c r="AN241" s="15"/>
      <c r="AO241" s="13"/>
      <c r="AP241" s="13"/>
      <c r="AQ241" s="16"/>
      <c r="AR241" s="10"/>
      <c r="AS241" s="10"/>
      <c r="AT241" s="10"/>
      <c r="AU241" s="10"/>
      <c r="AV241" s="11"/>
      <c r="AW241" s="11"/>
      <c r="AX241" s="10"/>
      <c r="AY241" s="11"/>
      <c r="AZ241" s="11"/>
      <c r="BA241" s="11"/>
      <c r="BB241" s="10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  <c r="BU241" s="11"/>
      <c r="BV241" s="11"/>
      <c r="BW241" s="11"/>
      <c r="BX241" s="11"/>
      <c r="BY241" s="11"/>
      <c r="BZ241" s="11"/>
      <c r="CA241" s="11"/>
      <c r="CB241" s="11"/>
      <c r="CC241" s="17"/>
      <c r="CD241" s="17"/>
      <c r="CE241" s="11"/>
      <c r="CF241" s="13"/>
      <c r="CG241" s="13"/>
      <c r="CH241" s="13"/>
      <c r="CI241" s="13"/>
      <c r="CJ241" s="13"/>
    </row>
    <row r="242" spans="1:88" s="9" customFormat="1" x14ac:dyDescent="0.25">
      <c r="A242" s="10"/>
      <c r="B242" s="10"/>
      <c r="C242" s="10"/>
      <c r="D242" s="10"/>
      <c r="E242" s="11"/>
      <c r="F242" s="10"/>
      <c r="G242" s="10"/>
      <c r="H242" s="10"/>
      <c r="I242" s="10"/>
      <c r="J242" s="10"/>
      <c r="K242" s="12"/>
      <c r="L242" s="10"/>
      <c r="M242" s="10"/>
      <c r="N242" s="13"/>
      <c r="O242" s="10"/>
      <c r="P242" s="10"/>
      <c r="Q242" s="10"/>
      <c r="R242" s="18"/>
      <c r="S242" s="10"/>
      <c r="T242" s="10"/>
      <c r="U242" s="13"/>
      <c r="V242" s="13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3"/>
      <c r="AL242" s="14"/>
      <c r="AM242" s="15"/>
      <c r="AN242" s="15"/>
      <c r="AO242" s="13"/>
      <c r="AP242" s="13"/>
      <c r="AQ242" s="16"/>
      <c r="AR242" s="10"/>
      <c r="AS242" s="10"/>
      <c r="AT242" s="10"/>
      <c r="AU242" s="10"/>
      <c r="AV242" s="11"/>
      <c r="AW242" s="11"/>
      <c r="AX242" s="10"/>
      <c r="AY242" s="11"/>
      <c r="AZ242" s="11"/>
      <c r="BA242" s="11"/>
      <c r="BB242" s="10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  <c r="BU242" s="11"/>
      <c r="BV242" s="11"/>
      <c r="BW242" s="11"/>
      <c r="BX242" s="11"/>
      <c r="BY242" s="11"/>
      <c r="BZ242" s="11"/>
      <c r="CA242" s="11"/>
      <c r="CB242" s="11"/>
      <c r="CC242" s="17"/>
      <c r="CD242" s="17"/>
      <c r="CE242" s="11"/>
      <c r="CF242" s="13"/>
      <c r="CG242" s="13"/>
      <c r="CH242" s="13"/>
      <c r="CI242" s="13"/>
      <c r="CJ242" s="13"/>
    </row>
    <row r="243" spans="1:88" s="9" customFormat="1" x14ac:dyDescent="0.25">
      <c r="A243" s="10"/>
      <c r="B243" s="10"/>
      <c r="C243" s="10"/>
      <c r="D243" s="10"/>
      <c r="E243" s="11"/>
      <c r="F243" s="10"/>
      <c r="G243" s="10"/>
      <c r="H243" s="10"/>
      <c r="I243" s="10"/>
      <c r="J243" s="10"/>
      <c r="K243" s="12"/>
      <c r="L243" s="10"/>
      <c r="M243" s="10"/>
      <c r="N243" s="13"/>
      <c r="O243" s="10"/>
      <c r="P243" s="10"/>
      <c r="Q243" s="10"/>
      <c r="R243" s="18"/>
      <c r="S243" s="10"/>
      <c r="T243" s="10"/>
      <c r="U243" s="13"/>
      <c r="V243" s="13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3"/>
      <c r="AL243" s="14"/>
      <c r="AM243" s="15"/>
      <c r="AN243" s="15"/>
      <c r="AO243" s="13"/>
      <c r="AP243" s="13"/>
      <c r="AQ243" s="16"/>
      <c r="AR243" s="10"/>
      <c r="AS243" s="10"/>
      <c r="AT243" s="10"/>
      <c r="AU243" s="10"/>
      <c r="AV243" s="11"/>
      <c r="AW243" s="11"/>
      <c r="AX243" s="10"/>
      <c r="AY243" s="11"/>
      <c r="AZ243" s="11"/>
      <c r="BA243" s="11"/>
      <c r="BB243" s="10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O243" s="11"/>
      <c r="BP243" s="11"/>
      <c r="BQ243" s="11"/>
      <c r="BR243" s="11"/>
      <c r="BS243" s="11"/>
      <c r="BT243" s="11"/>
      <c r="BU243" s="11"/>
      <c r="BV243" s="11"/>
      <c r="BW243" s="11"/>
      <c r="BX243" s="11"/>
      <c r="BY243" s="11"/>
      <c r="BZ243" s="11"/>
      <c r="CA243" s="11"/>
      <c r="CB243" s="11"/>
      <c r="CC243" s="17"/>
      <c r="CD243" s="17"/>
      <c r="CE243" s="11"/>
      <c r="CF243" s="13"/>
      <c r="CG243" s="13"/>
      <c r="CH243" s="13"/>
      <c r="CI243" s="13"/>
      <c r="CJ243" s="13"/>
    </row>
    <row r="244" spans="1:88" s="9" customFormat="1" x14ac:dyDescent="0.25">
      <c r="A244" s="10"/>
      <c r="B244" s="10"/>
      <c r="C244" s="10"/>
      <c r="D244" s="10"/>
      <c r="E244" s="11"/>
      <c r="F244" s="10"/>
      <c r="G244" s="10"/>
      <c r="H244" s="10"/>
      <c r="I244" s="10"/>
      <c r="J244" s="10"/>
      <c r="K244" s="12"/>
      <c r="L244" s="10"/>
      <c r="M244" s="10"/>
      <c r="N244" s="13"/>
      <c r="O244" s="10"/>
      <c r="P244" s="10"/>
      <c r="Q244" s="10"/>
      <c r="R244" s="18"/>
      <c r="S244" s="10"/>
      <c r="T244" s="10"/>
      <c r="U244" s="13"/>
      <c r="V244" s="13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3"/>
      <c r="AL244" s="14"/>
      <c r="AM244" s="15"/>
      <c r="AN244" s="15"/>
      <c r="AO244" s="13"/>
      <c r="AP244" s="13"/>
      <c r="AQ244" s="16"/>
      <c r="AR244" s="10"/>
      <c r="AS244" s="10"/>
      <c r="AT244" s="10"/>
      <c r="AU244" s="10"/>
      <c r="AV244" s="11"/>
      <c r="AW244" s="11"/>
      <c r="AX244" s="10"/>
      <c r="AY244" s="11"/>
      <c r="AZ244" s="11"/>
      <c r="BA244" s="11"/>
      <c r="BB244" s="10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11"/>
      <c r="BU244" s="11"/>
      <c r="BV244" s="11"/>
      <c r="BW244" s="11"/>
      <c r="BX244" s="11"/>
      <c r="BY244" s="11"/>
      <c r="BZ244" s="11"/>
      <c r="CA244" s="11"/>
      <c r="CB244" s="11"/>
      <c r="CC244" s="17"/>
      <c r="CD244" s="17"/>
      <c r="CE244" s="11"/>
      <c r="CF244" s="13"/>
      <c r="CG244" s="13"/>
      <c r="CH244" s="13"/>
      <c r="CI244" s="13"/>
      <c r="CJ244" s="13"/>
    </row>
    <row r="245" spans="1:88" s="9" customFormat="1" x14ac:dyDescent="0.25">
      <c r="A245" s="10"/>
      <c r="B245" s="10"/>
      <c r="C245" s="10"/>
      <c r="D245" s="10"/>
      <c r="E245" s="11"/>
      <c r="F245" s="10"/>
      <c r="G245" s="10"/>
      <c r="H245" s="10"/>
      <c r="I245" s="10"/>
      <c r="J245" s="10"/>
      <c r="K245" s="12"/>
      <c r="L245" s="10"/>
      <c r="M245" s="10"/>
      <c r="N245" s="13"/>
      <c r="O245" s="10"/>
      <c r="P245" s="10"/>
      <c r="Q245" s="10"/>
      <c r="R245" s="18"/>
      <c r="S245" s="10"/>
      <c r="T245" s="10"/>
      <c r="U245" s="13"/>
      <c r="V245" s="13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3"/>
      <c r="AL245" s="14"/>
      <c r="AM245" s="15"/>
      <c r="AN245" s="15"/>
      <c r="AO245" s="13"/>
      <c r="AP245" s="13"/>
      <c r="AQ245" s="16"/>
      <c r="AR245" s="10"/>
      <c r="AS245" s="10"/>
      <c r="AT245" s="10"/>
      <c r="AU245" s="10"/>
      <c r="AV245" s="11"/>
      <c r="AW245" s="11"/>
      <c r="AX245" s="10"/>
      <c r="AY245" s="11"/>
      <c r="AZ245" s="11"/>
      <c r="BA245" s="11"/>
      <c r="BB245" s="10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  <c r="BU245" s="11"/>
      <c r="BV245" s="11"/>
      <c r="BW245" s="11"/>
      <c r="BX245" s="11"/>
      <c r="BY245" s="11"/>
      <c r="BZ245" s="11"/>
      <c r="CA245" s="11"/>
      <c r="CB245" s="11"/>
      <c r="CC245" s="17"/>
      <c r="CD245" s="17"/>
      <c r="CE245" s="11"/>
      <c r="CF245" s="13"/>
      <c r="CG245" s="13"/>
      <c r="CH245" s="13"/>
      <c r="CI245" s="13"/>
      <c r="CJ245" s="13"/>
    </row>
    <row r="246" spans="1:88" s="9" customFormat="1" x14ac:dyDescent="0.25">
      <c r="A246" s="10"/>
      <c r="B246" s="10"/>
      <c r="C246" s="10"/>
      <c r="D246" s="10"/>
      <c r="E246" s="11"/>
      <c r="F246" s="10"/>
      <c r="G246" s="10"/>
      <c r="H246" s="10"/>
      <c r="I246" s="10"/>
      <c r="J246" s="10"/>
      <c r="K246" s="12"/>
      <c r="L246" s="10"/>
      <c r="M246" s="10"/>
      <c r="N246" s="13"/>
      <c r="O246" s="10"/>
      <c r="P246" s="10"/>
      <c r="Q246" s="10"/>
      <c r="R246" s="18"/>
      <c r="S246" s="10"/>
      <c r="T246" s="10"/>
      <c r="U246" s="13"/>
      <c r="V246" s="13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3"/>
      <c r="AL246" s="14"/>
      <c r="AM246" s="15"/>
      <c r="AN246" s="15"/>
      <c r="AO246" s="13"/>
      <c r="AP246" s="13"/>
      <c r="AQ246" s="16"/>
      <c r="AR246" s="10"/>
      <c r="AS246" s="10"/>
      <c r="AT246" s="10"/>
      <c r="AU246" s="10"/>
      <c r="AV246" s="11"/>
      <c r="AW246" s="11"/>
      <c r="AX246" s="10"/>
      <c r="AY246" s="11"/>
      <c r="AZ246" s="11"/>
      <c r="BA246" s="11"/>
      <c r="BB246" s="10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11"/>
      <c r="BU246" s="11"/>
      <c r="BV246" s="11"/>
      <c r="BW246" s="11"/>
      <c r="BX246" s="11"/>
      <c r="BY246" s="11"/>
      <c r="BZ246" s="11"/>
      <c r="CA246" s="11"/>
      <c r="CB246" s="11"/>
      <c r="CC246" s="17"/>
      <c r="CD246" s="17"/>
      <c r="CE246" s="11"/>
      <c r="CF246" s="13"/>
      <c r="CG246" s="13"/>
      <c r="CH246" s="13"/>
      <c r="CI246" s="13"/>
      <c r="CJ246" s="13"/>
    </row>
    <row r="247" spans="1:88" s="9" customFormat="1" x14ac:dyDescent="0.25">
      <c r="A247" s="10"/>
      <c r="B247" s="10"/>
      <c r="C247" s="10"/>
      <c r="D247" s="10"/>
      <c r="E247" s="11"/>
      <c r="F247" s="10"/>
      <c r="G247" s="10"/>
      <c r="H247" s="10"/>
      <c r="I247" s="10"/>
      <c r="J247" s="10"/>
      <c r="K247" s="12"/>
      <c r="L247" s="10"/>
      <c r="M247" s="10"/>
      <c r="N247" s="13"/>
      <c r="O247" s="10"/>
      <c r="P247" s="10"/>
      <c r="Q247" s="10"/>
      <c r="R247" s="18"/>
      <c r="S247" s="10"/>
      <c r="T247" s="10"/>
      <c r="U247" s="13"/>
      <c r="V247" s="13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3"/>
      <c r="AL247" s="14"/>
      <c r="AM247" s="15"/>
      <c r="AN247" s="15"/>
      <c r="AO247" s="13"/>
      <c r="AP247" s="13"/>
      <c r="AQ247" s="16"/>
      <c r="AR247" s="10"/>
      <c r="AS247" s="10"/>
      <c r="AT247" s="10"/>
      <c r="AU247" s="10"/>
      <c r="AV247" s="11"/>
      <c r="AW247" s="11"/>
      <c r="AX247" s="10"/>
      <c r="AY247" s="11"/>
      <c r="AZ247" s="11"/>
      <c r="BA247" s="11"/>
      <c r="BB247" s="10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  <c r="BP247" s="11"/>
      <c r="BQ247" s="11"/>
      <c r="BR247" s="11"/>
      <c r="BS247" s="11"/>
      <c r="BT247" s="11"/>
      <c r="BU247" s="11"/>
      <c r="BV247" s="11"/>
      <c r="BW247" s="11"/>
      <c r="BX247" s="11"/>
      <c r="BY247" s="11"/>
      <c r="BZ247" s="11"/>
      <c r="CA247" s="11"/>
      <c r="CB247" s="11"/>
      <c r="CC247" s="17"/>
      <c r="CD247" s="17"/>
      <c r="CE247" s="11"/>
      <c r="CF247" s="13"/>
      <c r="CG247" s="13"/>
      <c r="CH247" s="13"/>
      <c r="CI247" s="13"/>
      <c r="CJ247" s="13"/>
    </row>
    <row r="248" spans="1:88" s="9" customFormat="1" x14ac:dyDescent="0.25">
      <c r="A248" s="10"/>
      <c r="B248" s="10"/>
      <c r="C248" s="10"/>
      <c r="D248" s="10"/>
      <c r="E248" s="11"/>
      <c r="F248" s="10"/>
      <c r="G248" s="10"/>
      <c r="H248" s="10"/>
      <c r="I248" s="10"/>
      <c r="J248" s="10"/>
      <c r="K248" s="12"/>
      <c r="L248" s="10"/>
      <c r="M248" s="10"/>
      <c r="N248" s="13"/>
      <c r="O248" s="10"/>
      <c r="P248" s="10"/>
      <c r="Q248" s="10"/>
      <c r="R248" s="18"/>
      <c r="S248" s="10"/>
      <c r="T248" s="10"/>
      <c r="U248" s="13"/>
      <c r="V248" s="13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3"/>
      <c r="AL248" s="14"/>
      <c r="AM248" s="15"/>
      <c r="AN248" s="15"/>
      <c r="AO248" s="13"/>
      <c r="AP248" s="13"/>
      <c r="AQ248" s="16"/>
      <c r="AR248" s="10"/>
      <c r="AS248" s="10"/>
      <c r="AT248" s="10"/>
      <c r="AU248" s="10"/>
      <c r="AV248" s="11"/>
      <c r="AW248" s="11"/>
      <c r="AX248" s="10"/>
      <c r="AY248" s="11"/>
      <c r="AZ248" s="11"/>
      <c r="BA248" s="11"/>
      <c r="BB248" s="10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  <c r="BU248" s="11"/>
      <c r="BV248" s="11"/>
      <c r="BW248" s="11"/>
      <c r="BX248" s="11"/>
      <c r="BY248" s="11"/>
      <c r="BZ248" s="11"/>
      <c r="CA248" s="11"/>
      <c r="CB248" s="11"/>
      <c r="CC248" s="17"/>
      <c r="CD248" s="17"/>
      <c r="CE248" s="11"/>
      <c r="CF248" s="13"/>
      <c r="CG248" s="13"/>
      <c r="CH248" s="13"/>
      <c r="CI248" s="13"/>
      <c r="CJ248" s="13"/>
    </row>
    <row r="249" spans="1:88" s="9" customFormat="1" x14ac:dyDescent="0.25">
      <c r="A249" s="10"/>
      <c r="B249" s="10"/>
      <c r="C249" s="10"/>
      <c r="D249" s="10"/>
      <c r="E249" s="11"/>
      <c r="F249" s="10"/>
      <c r="G249" s="10"/>
      <c r="H249" s="10"/>
      <c r="I249" s="10"/>
      <c r="J249" s="10"/>
      <c r="K249" s="12"/>
      <c r="L249" s="10"/>
      <c r="M249" s="10"/>
      <c r="N249" s="13"/>
      <c r="O249" s="10"/>
      <c r="P249" s="10"/>
      <c r="Q249" s="10"/>
      <c r="R249" s="18"/>
      <c r="S249" s="10"/>
      <c r="T249" s="10"/>
      <c r="U249" s="13"/>
      <c r="V249" s="13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3"/>
      <c r="AL249" s="14"/>
      <c r="AM249" s="15"/>
      <c r="AN249" s="15"/>
      <c r="AO249" s="13"/>
      <c r="AP249" s="13"/>
      <c r="AQ249" s="16"/>
      <c r="AR249" s="10"/>
      <c r="AS249" s="10"/>
      <c r="AT249" s="10"/>
      <c r="AU249" s="10"/>
      <c r="AV249" s="11"/>
      <c r="AW249" s="11"/>
      <c r="AX249" s="10"/>
      <c r="AY249" s="11"/>
      <c r="AZ249" s="11"/>
      <c r="BA249" s="11"/>
      <c r="BB249" s="10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  <c r="BP249" s="11"/>
      <c r="BQ249" s="11"/>
      <c r="BR249" s="11"/>
      <c r="BS249" s="11"/>
      <c r="BT249" s="11"/>
      <c r="BU249" s="11"/>
      <c r="BV249" s="11"/>
      <c r="BW249" s="11"/>
      <c r="BX249" s="11"/>
      <c r="BY249" s="11"/>
      <c r="BZ249" s="11"/>
      <c r="CA249" s="11"/>
      <c r="CB249" s="11"/>
      <c r="CC249" s="17"/>
      <c r="CD249" s="17"/>
      <c r="CE249" s="11"/>
      <c r="CF249" s="13"/>
      <c r="CG249" s="13"/>
      <c r="CH249" s="13"/>
      <c r="CI249" s="13"/>
      <c r="CJ249" s="13"/>
    </row>
    <row r="250" spans="1:88" s="9" customFormat="1" x14ac:dyDescent="0.25">
      <c r="A250" s="10"/>
      <c r="B250" s="10"/>
      <c r="C250" s="10"/>
      <c r="D250" s="10"/>
      <c r="E250" s="11"/>
      <c r="F250" s="10"/>
      <c r="G250" s="10"/>
      <c r="H250" s="10"/>
      <c r="I250" s="10"/>
      <c r="J250" s="10"/>
      <c r="K250" s="12"/>
      <c r="L250" s="10"/>
      <c r="M250" s="10"/>
      <c r="N250" s="13"/>
      <c r="O250" s="10"/>
      <c r="P250" s="10"/>
      <c r="Q250" s="10"/>
      <c r="R250" s="18"/>
      <c r="S250" s="10"/>
      <c r="T250" s="10"/>
      <c r="U250" s="13"/>
      <c r="V250" s="13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3"/>
      <c r="AL250" s="14"/>
      <c r="AM250" s="15"/>
      <c r="AN250" s="15"/>
      <c r="AO250" s="13"/>
      <c r="AP250" s="13"/>
      <c r="AQ250" s="16"/>
      <c r="AR250" s="10"/>
      <c r="AS250" s="10"/>
      <c r="AT250" s="10"/>
      <c r="AU250" s="10"/>
      <c r="AV250" s="11"/>
      <c r="AW250" s="11"/>
      <c r="AX250" s="10"/>
      <c r="AY250" s="11"/>
      <c r="AZ250" s="11"/>
      <c r="BA250" s="11"/>
      <c r="BB250" s="10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7"/>
      <c r="CD250" s="17"/>
      <c r="CE250" s="11"/>
      <c r="CF250" s="13"/>
      <c r="CG250" s="13"/>
      <c r="CH250" s="13"/>
      <c r="CI250" s="13"/>
      <c r="CJ250" s="13"/>
    </row>
    <row r="251" spans="1:88" s="9" customFormat="1" x14ac:dyDescent="0.25">
      <c r="A251" s="10"/>
      <c r="B251" s="10"/>
      <c r="C251" s="10"/>
      <c r="D251" s="10"/>
      <c r="E251" s="11"/>
      <c r="F251" s="10"/>
      <c r="G251" s="10"/>
      <c r="H251" s="10"/>
      <c r="I251" s="10"/>
      <c r="J251" s="10"/>
      <c r="K251" s="12"/>
      <c r="L251" s="10"/>
      <c r="M251" s="10"/>
      <c r="N251" s="13"/>
      <c r="O251" s="10"/>
      <c r="P251" s="10"/>
      <c r="Q251" s="10"/>
      <c r="R251" s="18"/>
      <c r="S251" s="10"/>
      <c r="T251" s="10"/>
      <c r="U251" s="13"/>
      <c r="V251" s="13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3"/>
      <c r="AL251" s="14"/>
      <c r="AM251" s="15"/>
      <c r="AN251" s="15"/>
      <c r="AO251" s="13"/>
      <c r="AP251" s="13"/>
      <c r="AQ251" s="16"/>
      <c r="AR251" s="10"/>
      <c r="AS251" s="10"/>
      <c r="AT251" s="10"/>
      <c r="AU251" s="10"/>
      <c r="AV251" s="11"/>
      <c r="AW251" s="11"/>
      <c r="AX251" s="10"/>
      <c r="AY251" s="11"/>
      <c r="AZ251" s="11"/>
      <c r="BA251" s="11"/>
      <c r="BB251" s="10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  <c r="BV251" s="11"/>
      <c r="BW251" s="11"/>
      <c r="BX251" s="11"/>
      <c r="BY251" s="11"/>
      <c r="BZ251" s="11"/>
      <c r="CA251" s="11"/>
      <c r="CB251" s="11"/>
      <c r="CC251" s="17"/>
      <c r="CD251" s="17"/>
      <c r="CE251" s="11"/>
      <c r="CF251" s="13"/>
      <c r="CG251" s="13"/>
      <c r="CH251" s="13"/>
      <c r="CI251" s="13"/>
      <c r="CJ251" s="13"/>
    </row>
    <row r="252" spans="1:88" s="9" customFormat="1" x14ac:dyDescent="0.25">
      <c r="A252" s="10"/>
      <c r="B252" s="10"/>
      <c r="C252" s="10"/>
      <c r="D252" s="10"/>
      <c r="E252" s="11"/>
      <c r="F252" s="10"/>
      <c r="G252" s="10"/>
      <c r="H252" s="10"/>
      <c r="I252" s="10"/>
      <c r="J252" s="10"/>
      <c r="K252" s="12"/>
      <c r="L252" s="10"/>
      <c r="M252" s="10"/>
      <c r="N252" s="13"/>
      <c r="O252" s="10"/>
      <c r="P252" s="10"/>
      <c r="Q252" s="10"/>
      <c r="R252" s="18"/>
      <c r="S252" s="10"/>
      <c r="T252" s="10"/>
      <c r="U252" s="13"/>
      <c r="V252" s="13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3"/>
      <c r="AL252" s="14"/>
      <c r="AM252" s="15"/>
      <c r="AN252" s="15"/>
      <c r="AO252" s="13"/>
      <c r="AP252" s="13"/>
      <c r="AQ252" s="16"/>
      <c r="AR252" s="10"/>
      <c r="AS252" s="10"/>
      <c r="AT252" s="10"/>
      <c r="AU252" s="10"/>
      <c r="AV252" s="11"/>
      <c r="AW252" s="11"/>
      <c r="AX252" s="10"/>
      <c r="AY252" s="11"/>
      <c r="AZ252" s="11"/>
      <c r="BA252" s="11"/>
      <c r="BB252" s="10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  <c r="BU252" s="11"/>
      <c r="BV252" s="11"/>
      <c r="BW252" s="11"/>
      <c r="BX252" s="11"/>
      <c r="BY252" s="11"/>
      <c r="BZ252" s="11"/>
      <c r="CA252" s="11"/>
      <c r="CB252" s="11"/>
      <c r="CC252" s="17"/>
      <c r="CD252" s="17"/>
      <c r="CE252" s="11"/>
      <c r="CF252" s="13"/>
      <c r="CG252" s="13"/>
      <c r="CH252" s="13"/>
      <c r="CI252" s="13"/>
      <c r="CJ252" s="13"/>
    </row>
    <row r="253" spans="1:88" s="9" customFormat="1" x14ac:dyDescent="0.25">
      <c r="A253" s="10"/>
      <c r="B253" s="10"/>
      <c r="C253" s="10"/>
      <c r="D253" s="10"/>
      <c r="E253" s="11"/>
      <c r="F253" s="10"/>
      <c r="G253" s="10"/>
      <c r="H253" s="10"/>
      <c r="I253" s="10"/>
      <c r="J253" s="10"/>
      <c r="K253" s="12"/>
      <c r="L253" s="10"/>
      <c r="M253" s="10"/>
      <c r="N253" s="13"/>
      <c r="O253" s="10"/>
      <c r="P253" s="10"/>
      <c r="Q253" s="10"/>
      <c r="R253" s="18"/>
      <c r="S253" s="10"/>
      <c r="T253" s="10"/>
      <c r="U253" s="13"/>
      <c r="V253" s="13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3"/>
      <c r="AL253" s="14"/>
      <c r="AM253" s="15"/>
      <c r="AN253" s="15"/>
      <c r="AO253" s="13"/>
      <c r="AP253" s="13"/>
      <c r="AQ253" s="16"/>
      <c r="AR253" s="10"/>
      <c r="AS253" s="10"/>
      <c r="AT253" s="10"/>
      <c r="AU253" s="10"/>
      <c r="AV253" s="11"/>
      <c r="AW253" s="11"/>
      <c r="AX253" s="10"/>
      <c r="AY253" s="11"/>
      <c r="AZ253" s="11"/>
      <c r="BA253" s="11"/>
      <c r="BB253" s="10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  <c r="BU253" s="11"/>
      <c r="BV253" s="11"/>
      <c r="BW253" s="11"/>
      <c r="BX253" s="11"/>
      <c r="BY253" s="11"/>
      <c r="BZ253" s="11"/>
      <c r="CA253" s="11"/>
      <c r="CB253" s="11"/>
      <c r="CC253" s="17"/>
      <c r="CD253" s="17"/>
      <c r="CE253" s="11"/>
      <c r="CF253" s="13"/>
      <c r="CG253" s="13"/>
      <c r="CH253" s="13"/>
      <c r="CI253" s="13"/>
      <c r="CJ253" s="13"/>
    </row>
    <row r="254" spans="1:88" s="9" customFormat="1" x14ac:dyDescent="0.25">
      <c r="A254" s="10"/>
      <c r="B254" s="10"/>
      <c r="C254" s="10"/>
      <c r="D254" s="10"/>
      <c r="E254" s="11"/>
      <c r="F254" s="10"/>
      <c r="G254" s="10"/>
      <c r="H254" s="10"/>
      <c r="I254" s="10"/>
      <c r="J254" s="10"/>
      <c r="K254" s="12"/>
      <c r="L254" s="10"/>
      <c r="M254" s="10"/>
      <c r="N254" s="13"/>
      <c r="O254" s="10"/>
      <c r="P254" s="10"/>
      <c r="Q254" s="10"/>
      <c r="R254" s="18"/>
      <c r="S254" s="10"/>
      <c r="T254" s="10"/>
      <c r="U254" s="13"/>
      <c r="V254" s="13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3"/>
      <c r="AL254" s="14"/>
      <c r="AM254" s="15"/>
      <c r="AN254" s="15"/>
      <c r="AO254" s="13"/>
      <c r="AP254" s="13"/>
      <c r="AQ254" s="16"/>
      <c r="AR254" s="10"/>
      <c r="AS254" s="10"/>
      <c r="AT254" s="10"/>
      <c r="AU254" s="10"/>
      <c r="AV254" s="11"/>
      <c r="AW254" s="11"/>
      <c r="AX254" s="10"/>
      <c r="AY254" s="11"/>
      <c r="AZ254" s="11"/>
      <c r="BA254" s="11"/>
      <c r="BB254" s="10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  <c r="BU254" s="11"/>
      <c r="BV254" s="11"/>
      <c r="BW254" s="11"/>
      <c r="BX254" s="11"/>
      <c r="BY254" s="11"/>
      <c r="BZ254" s="11"/>
      <c r="CA254" s="11"/>
      <c r="CB254" s="11"/>
      <c r="CC254" s="17"/>
      <c r="CD254" s="17"/>
      <c r="CE254" s="11"/>
      <c r="CF254" s="13"/>
      <c r="CG254" s="13"/>
      <c r="CH254" s="13"/>
      <c r="CI254" s="13"/>
      <c r="CJ254" s="13"/>
    </row>
    <row r="255" spans="1:88" s="9" customFormat="1" x14ac:dyDescent="0.25">
      <c r="A255" s="10"/>
      <c r="B255" s="10"/>
      <c r="C255" s="10"/>
      <c r="D255" s="10"/>
      <c r="E255" s="11"/>
      <c r="F255" s="10"/>
      <c r="G255" s="10"/>
      <c r="H255" s="10"/>
      <c r="I255" s="10"/>
      <c r="J255" s="10"/>
      <c r="K255" s="12"/>
      <c r="L255" s="10"/>
      <c r="M255" s="10"/>
      <c r="N255" s="13"/>
      <c r="O255" s="10"/>
      <c r="P255" s="10"/>
      <c r="Q255" s="10"/>
      <c r="R255" s="18"/>
      <c r="S255" s="10"/>
      <c r="T255" s="10"/>
      <c r="U255" s="13"/>
      <c r="V255" s="13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3"/>
      <c r="AL255" s="14"/>
      <c r="AM255" s="15"/>
      <c r="AN255" s="15"/>
      <c r="AO255" s="13"/>
      <c r="AP255" s="13"/>
      <c r="AQ255" s="16"/>
      <c r="AR255" s="10"/>
      <c r="AS255" s="10"/>
      <c r="AT255" s="10"/>
      <c r="AU255" s="10"/>
      <c r="AV255" s="11"/>
      <c r="AW255" s="11"/>
      <c r="AX255" s="10"/>
      <c r="AY255" s="11"/>
      <c r="AZ255" s="11"/>
      <c r="BA255" s="11"/>
      <c r="BB255" s="10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7"/>
      <c r="CD255" s="17"/>
      <c r="CE255" s="11"/>
      <c r="CF255" s="13"/>
      <c r="CG255" s="13"/>
      <c r="CH255" s="13"/>
      <c r="CI255" s="13"/>
      <c r="CJ255" s="13"/>
    </row>
    <row r="256" spans="1:88" s="9" customFormat="1" x14ac:dyDescent="0.25">
      <c r="A256" s="10"/>
      <c r="B256" s="10"/>
      <c r="C256" s="10"/>
      <c r="D256" s="10"/>
      <c r="E256" s="11"/>
      <c r="F256" s="10"/>
      <c r="G256" s="10"/>
      <c r="H256" s="10"/>
      <c r="I256" s="10"/>
      <c r="J256" s="10"/>
      <c r="K256" s="12"/>
      <c r="L256" s="10"/>
      <c r="M256" s="10"/>
      <c r="N256" s="13"/>
      <c r="O256" s="10"/>
      <c r="P256" s="10"/>
      <c r="Q256" s="10"/>
      <c r="R256" s="18"/>
      <c r="S256" s="10"/>
      <c r="T256" s="10"/>
      <c r="U256" s="13"/>
      <c r="V256" s="13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3"/>
      <c r="AL256" s="14"/>
      <c r="AM256" s="15"/>
      <c r="AN256" s="15"/>
      <c r="AO256" s="13"/>
      <c r="AP256" s="13"/>
      <c r="AQ256" s="16"/>
      <c r="AR256" s="10"/>
      <c r="AS256" s="10"/>
      <c r="AT256" s="10"/>
      <c r="AU256" s="10"/>
      <c r="AV256" s="11"/>
      <c r="AW256" s="11"/>
      <c r="AX256" s="10"/>
      <c r="AY256" s="11"/>
      <c r="AZ256" s="11"/>
      <c r="BA256" s="11"/>
      <c r="BB256" s="10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11"/>
      <c r="BR256" s="11"/>
      <c r="BS256" s="11"/>
      <c r="BT256" s="11"/>
      <c r="BU256" s="11"/>
      <c r="BV256" s="11"/>
      <c r="BW256" s="11"/>
      <c r="BX256" s="11"/>
      <c r="BY256" s="11"/>
      <c r="BZ256" s="11"/>
      <c r="CA256" s="11"/>
      <c r="CB256" s="11"/>
      <c r="CC256" s="17"/>
      <c r="CD256" s="17"/>
      <c r="CE256" s="11"/>
      <c r="CF256" s="13"/>
      <c r="CG256" s="13"/>
      <c r="CH256" s="13"/>
      <c r="CI256" s="13"/>
      <c r="CJ256" s="13"/>
    </row>
    <row r="257" spans="1:88" s="9" customFormat="1" x14ac:dyDescent="0.25">
      <c r="A257" s="10"/>
      <c r="B257" s="10"/>
      <c r="C257" s="10"/>
      <c r="D257" s="10"/>
      <c r="E257" s="11"/>
      <c r="F257" s="10"/>
      <c r="G257" s="10"/>
      <c r="H257" s="10"/>
      <c r="I257" s="10"/>
      <c r="J257" s="10"/>
      <c r="K257" s="12"/>
      <c r="L257" s="10"/>
      <c r="M257" s="10"/>
      <c r="N257" s="13"/>
      <c r="O257" s="10"/>
      <c r="P257" s="10"/>
      <c r="Q257" s="10"/>
      <c r="R257" s="18"/>
      <c r="S257" s="10"/>
      <c r="T257" s="10"/>
      <c r="U257" s="13"/>
      <c r="V257" s="13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3"/>
      <c r="AL257" s="14"/>
      <c r="AM257" s="15"/>
      <c r="AN257" s="15"/>
      <c r="AO257" s="13"/>
      <c r="AP257" s="13"/>
      <c r="AQ257" s="16"/>
      <c r="AR257" s="10"/>
      <c r="AS257" s="10"/>
      <c r="AT257" s="10"/>
      <c r="AU257" s="10"/>
      <c r="AV257" s="11"/>
      <c r="AW257" s="11"/>
      <c r="AX257" s="10"/>
      <c r="AY257" s="11"/>
      <c r="AZ257" s="11"/>
      <c r="BA257" s="11"/>
      <c r="BB257" s="10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  <c r="BU257" s="11"/>
      <c r="BV257" s="11"/>
      <c r="BW257" s="11"/>
      <c r="BX257" s="11"/>
      <c r="BY257" s="11"/>
      <c r="BZ257" s="11"/>
      <c r="CA257" s="11"/>
      <c r="CB257" s="11"/>
      <c r="CC257" s="17"/>
      <c r="CD257" s="17"/>
      <c r="CE257" s="11"/>
      <c r="CF257" s="13"/>
      <c r="CG257" s="13"/>
      <c r="CH257" s="13"/>
      <c r="CI257" s="13"/>
      <c r="CJ257" s="13"/>
    </row>
    <row r="258" spans="1:88" s="9" customFormat="1" x14ac:dyDescent="0.25">
      <c r="A258" s="10"/>
      <c r="B258" s="10"/>
      <c r="C258" s="10"/>
      <c r="D258" s="10"/>
      <c r="E258" s="11"/>
      <c r="F258" s="10"/>
      <c r="G258" s="10"/>
      <c r="H258" s="10"/>
      <c r="I258" s="10"/>
      <c r="J258" s="10"/>
      <c r="K258" s="12"/>
      <c r="L258" s="10"/>
      <c r="M258" s="10"/>
      <c r="N258" s="13"/>
      <c r="O258" s="10"/>
      <c r="P258" s="10"/>
      <c r="Q258" s="10"/>
      <c r="R258" s="18"/>
      <c r="S258" s="10"/>
      <c r="T258" s="10"/>
      <c r="U258" s="13"/>
      <c r="V258" s="13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3"/>
      <c r="AL258" s="14"/>
      <c r="AM258" s="15"/>
      <c r="AN258" s="15"/>
      <c r="AO258" s="13"/>
      <c r="AP258" s="13"/>
      <c r="AQ258" s="16"/>
      <c r="AR258" s="10"/>
      <c r="AS258" s="10"/>
      <c r="AT258" s="10"/>
      <c r="AU258" s="10"/>
      <c r="AV258" s="11"/>
      <c r="AW258" s="11"/>
      <c r="AX258" s="10"/>
      <c r="AY258" s="11"/>
      <c r="AZ258" s="11"/>
      <c r="BA258" s="11"/>
      <c r="BB258" s="10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  <c r="BU258" s="11"/>
      <c r="BV258" s="11"/>
      <c r="BW258" s="11"/>
      <c r="BX258" s="11"/>
      <c r="BY258" s="11"/>
      <c r="BZ258" s="11"/>
      <c r="CA258" s="11"/>
      <c r="CB258" s="11"/>
      <c r="CC258" s="17"/>
      <c r="CD258" s="17"/>
      <c r="CE258" s="11"/>
      <c r="CF258" s="13"/>
      <c r="CG258" s="13"/>
      <c r="CH258" s="13"/>
      <c r="CI258" s="13"/>
      <c r="CJ258" s="13"/>
    </row>
    <row r="259" spans="1:88" s="9" customFormat="1" x14ac:dyDescent="0.25">
      <c r="A259" s="10"/>
      <c r="B259" s="10"/>
      <c r="C259" s="10"/>
      <c r="D259" s="10"/>
      <c r="E259" s="11"/>
      <c r="F259" s="10"/>
      <c r="G259" s="10"/>
      <c r="H259" s="10"/>
      <c r="I259" s="10"/>
      <c r="J259" s="10"/>
      <c r="K259" s="12"/>
      <c r="L259" s="10"/>
      <c r="M259" s="10"/>
      <c r="N259" s="13"/>
      <c r="O259" s="10"/>
      <c r="P259" s="10"/>
      <c r="Q259" s="10"/>
      <c r="R259" s="18"/>
      <c r="S259" s="10"/>
      <c r="T259" s="10"/>
      <c r="U259" s="13"/>
      <c r="V259" s="13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3"/>
      <c r="AL259" s="14"/>
      <c r="AM259" s="15"/>
      <c r="AN259" s="15"/>
      <c r="AO259" s="13"/>
      <c r="AP259" s="13"/>
      <c r="AQ259" s="16"/>
      <c r="AR259" s="10"/>
      <c r="AS259" s="10"/>
      <c r="AT259" s="10"/>
      <c r="AU259" s="10"/>
      <c r="AV259" s="11"/>
      <c r="AW259" s="11"/>
      <c r="AX259" s="10"/>
      <c r="AY259" s="11"/>
      <c r="AZ259" s="11"/>
      <c r="BA259" s="11"/>
      <c r="BB259" s="10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  <c r="BU259" s="11"/>
      <c r="BV259" s="11"/>
      <c r="BW259" s="11"/>
      <c r="BX259" s="11"/>
      <c r="BY259" s="11"/>
      <c r="BZ259" s="11"/>
      <c r="CA259" s="11"/>
      <c r="CB259" s="11"/>
      <c r="CC259" s="17"/>
      <c r="CD259" s="17"/>
      <c r="CE259" s="11"/>
      <c r="CF259" s="13"/>
      <c r="CG259" s="13"/>
      <c r="CH259" s="13"/>
      <c r="CI259" s="13"/>
      <c r="CJ259" s="13"/>
    </row>
    <row r="260" spans="1:88" s="9" customFormat="1" x14ac:dyDescent="0.25">
      <c r="A260" s="10"/>
      <c r="B260" s="10"/>
      <c r="C260" s="10"/>
      <c r="D260" s="10"/>
      <c r="E260" s="11"/>
      <c r="F260" s="10"/>
      <c r="G260" s="10"/>
      <c r="H260" s="10"/>
      <c r="I260" s="10"/>
      <c r="J260" s="10"/>
      <c r="K260" s="12"/>
      <c r="L260" s="10"/>
      <c r="M260" s="10"/>
      <c r="N260" s="13"/>
      <c r="O260" s="10"/>
      <c r="P260" s="10"/>
      <c r="Q260" s="10"/>
      <c r="R260" s="18"/>
      <c r="S260" s="10"/>
      <c r="T260" s="10"/>
      <c r="U260" s="13"/>
      <c r="V260" s="13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3"/>
      <c r="AL260" s="14"/>
      <c r="AM260" s="15"/>
      <c r="AN260" s="15"/>
      <c r="AO260" s="13"/>
      <c r="AP260" s="13"/>
      <c r="AQ260" s="16"/>
      <c r="AR260" s="10"/>
      <c r="AS260" s="10"/>
      <c r="AT260" s="10"/>
      <c r="AU260" s="10"/>
      <c r="AV260" s="11"/>
      <c r="AW260" s="11"/>
      <c r="AX260" s="10"/>
      <c r="AY260" s="11"/>
      <c r="AZ260" s="11"/>
      <c r="BA260" s="11"/>
      <c r="BB260" s="10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  <c r="BN260" s="11"/>
      <c r="BO260" s="11"/>
      <c r="BP260" s="11"/>
      <c r="BQ260" s="11"/>
      <c r="BR260" s="11"/>
      <c r="BS260" s="11"/>
      <c r="BT260" s="11"/>
      <c r="BU260" s="11"/>
      <c r="BV260" s="11"/>
      <c r="BW260" s="11"/>
      <c r="BX260" s="11"/>
      <c r="BY260" s="11"/>
      <c r="BZ260" s="11"/>
      <c r="CA260" s="11"/>
      <c r="CB260" s="11"/>
      <c r="CC260" s="17"/>
      <c r="CD260" s="17"/>
      <c r="CE260" s="11"/>
      <c r="CF260" s="13"/>
      <c r="CG260" s="13"/>
      <c r="CH260" s="13"/>
      <c r="CI260" s="13"/>
      <c r="CJ260" s="13"/>
    </row>
    <row r="261" spans="1:88" s="9" customFormat="1" x14ac:dyDescent="0.25">
      <c r="A261" s="10"/>
      <c r="B261" s="10"/>
      <c r="C261" s="10"/>
      <c r="D261" s="10"/>
      <c r="E261" s="11"/>
      <c r="F261" s="10"/>
      <c r="G261" s="10"/>
      <c r="H261" s="10"/>
      <c r="I261" s="10"/>
      <c r="J261" s="10"/>
      <c r="K261" s="12"/>
      <c r="L261" s="10"/>
      <c r="M261" s="10"/>
      <c r="N261" s="13"/>
      <c r="O261" s="10"/>
      <c r="P261" s="10"/>
      <c r="Q261" s="10"/>
      <c r="R261" s="18"/>
      <c r="S261" s="10"/>
      <c r="T261" s="10"/>
      <c r="U261" s="13"/>
      <c r="V261" s="13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3"/>
      <c r="AL261" s="14"/>
      <c r="AM261" s="15"/>
      <c r="AN261" s="15"/>
      <c r="AO261" s="13"/>
      <c r="AP261" s="13"/>
      <c r="AQ261" s="16"/>
      <c r="AR261" s="10"/>
      <c r="AS261" s="10"/>
      <c r="AT261" s="10"/>
      <c r="AU261" s="10"/>
      <c r="AV261" s="11"/>
      <c r="AW261" s="11"/>
      <c r="AX261" s="10"/>
      <c r="AY261" s="11"/>
      <c r="AZ261" s="11"/>
      <c r="BA261" s="11"/>
      <c r="BB261" s="10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  <c r="BN261" s="11"/>
      <c r="BO261" s="11"/>
      <c r="BP261" s="11"/>
      <c r="BQ261" s="11"/>
      <c r="BR261" s="11"/>
      <c r="BS261" s="11"/>
      <c r="BT261" s="11"/>
      <c r="BU261" s="11"/>
      <c r="BV261" s="11"/>
      <c r="BW261" s="11"/>
      <c r="BX261" s="11"/>
      <c r="BY261" s="11"/>
      <c r="BZ261" s="11"/>
      <c r="CA261" s="11"/>
      <c r="CB261" s="11"/>
      <c r="CC261" s="17"/>
      <c r="CD261" s="17"/>
      <c r="CE261" s="11"/>
      <c r="CF261" s="13"/>
      <c r="CG261" s="13"/>
      <c r="CH261" s="13"/>
      <c r="CI261" s="13"/>
      <c r="CJ261" s="13"/>
    </row>
    <row r="262" spans="1:88" s="9" customFormat="1" x14ac:dyDescent="0.25">
      <c r="A262" s="10"/>
      <c r="B262" s="10"/>
      <c r="C262" s="10"/>
      <c r="D262" s="10"/>
      <c r="E262" s="11"/>
      <c r="F262" s="10"/>
      <c r="G262" s="10"/>
      <c r="H262" s="10"/>
      <c r="I262" s="10"/>
      <c r="J262" s="10"/>
      <c r="K262" s="12"/>
      <c r="L262" s="10"/>
      <c r="M262" s="10"/>
      <c r="N262" s="13"/>
      <c r="O262" s="10"/>
      <c r="P262" s="10"/>
      <c r="Q262" s="10"/>
      <c r="R262" s="18"/>
      <c r="S262" s="10"/>
      <c r="T262" s="10"/>
      <c r="U262" s="13"/>
      <c r="V262" s="13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3"/>
      <c r="AL262" s="14"/>
      <c r="AM262" s="15"/>
      <c r="AN262" s="15"/>
      <c r="AO262" s="13"/>
      <c r="AP262" s="13"/>
      <c r="AQ262" s="16"/>
      <c r="AR262" s="10"/>
      <c r="AS262" s="10"/>
      <c r="AT262" s="10"/>
      <c r="AU262" s="10"/>
      <c r="AV262" s="11"/>
      <c r="AW262" s="11"/>
      <c r="AX262" s="10"/>
      <c r="AY262" s="11"/>
      <c r="AZ262" s="11"/>
      <c r="BA262" s="11"/>
      <c r="BB262" s="10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  <c r="BU262" s="11"/>
      <c r="BV262" s="11"/>
      <c r="BW262" s="11"/>
      <c r="BX262" s="11"/>
      <c r="BY262" s="11"/>
      <c r="BZ262" s="11"/>
      <c r="CA262" s="11"/>
      <c r="CB262" s="11"/>
      <c r="CC262" s="17"/>
      <c r="CD262" s="17"/>
      <c r="CE262" s="11"/>
      <c r="CF262" s="13"/>
      <c r="CG262" s="13"/>
      <c r="CH262" s="13"/>
      <c r="CI262" s="13"/>
      <c r="CJ262" s="13"/>
    </row>
    <row r="263" spans="1:88" s="9" customFormat="1" x14ac:dyDescent="0.25">
      <c r="A263" s="10"/>
      <c r="B263" s="10"/>
      <c r="C263" s="10"/>
      <c r="D263" s="10"/>
      <c r="E263" s="11"/>
      <c r="F263" s="10"/>
      <c r="G263" s="10"/>
      <c r="H263" s="10"/>
      <c r="I263" s="10"/>
      <c r="J263" s="10"/>
      <c r="K263" s="12"/>
      <c r="L263" s="10"/>
      <c r="M263" s="10"/>
      <c r="N263" s="13"/>
      <c r="O263" s="10"/>
      <c r="P263" s="10"/>
      <c r="Q263" s="10"/>
      <c r="R263" s="18"/>
      <c r="S263" s="10"/>
      <c r="T263" s="10"/>
      <c r="U263" s="13"/>
      <c r="V263" s="13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3"/>
      <c r="AL263" s="14"/>
      <c r="AM263" s="15"/>
      <c r="AN263" s="15"/>
      <c r="AO263" s="13"/>
      <c r="AP263" s="13"/>
      <c r="AQ263" s="16"/>
      <c r="AR263" s="10"/>
      <c r="AS263" s="10"/>
      <c r="AT263" s="10"/>
      <c r="AU263" s="10"/>
      <c r="AV263" s="11"/>
      <c r="AW263" s="11"/>
      <c r="AX263" s="10"/>
      <c r="AY263" s="11"/>
      <c r="AZ263" s="11"/>
      <c r="BA263" s="11"/>
      <c r="BB263" s="10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  <c r="BU263" s="11"/>
      <c r="BV263" s="11"/>
      <c r="BW263" s="11"/>
      <c r="BX263" s="11"/>
      <c r="BY263" s="11"/>
      <c r="BZ263" s="11"/>
      <c r="CA263" s="11"/>
      <c r="CB263" s="11"/>
      <c r="CC263" s="17"/>
      <c r="CD263" s="17"/>
      <c r="CE263" s="11"/>
      <c r="CF263" s="13"/>
      <c r="CG263" s="13"/>
      <c r="CH263" s="13"/>
      <c r="CI263" s="13"/>
      <c r="CJ263" s="13"/>
    </row>
    <row r="264" spans="1:88" s="9" customFormat="1" x14ac:dyDescent="0.25">
      <c r="A264" s="10"/>
      <c r="B264" s="10"/>
      <c r="C264" s="10"/>
      <c r="D264" s="10"/>
      <c r="E264" s="11"/>
      <c r="F264" s="10"/>
      <c r="G264" s="10"/>
      <c r="H264" s="10"/>
      <c r="I264" s="10"/>
      <c r="J264" s="10"/>
      <c r="K264" s="12"/>
      <c r="L264" s="10"/>
      <c r="M264" s="10"/>
      <c r="N264" s="13"/>
      <c r="O264" s="10"/>
      <c r="P264" s="10"/>
      <c r="Q264" s="10"/>
      <c r="R264" s="18"/>
      <c r="S264" s="10"/>
      <c r="T264" s="10"/>
      <c r="U264" s="13"/>
      <c r="V264" s="13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3"/>
      <c r="AL264" s="14"/>
      <c r="AM264" s="15"/>
      <c r="AN264" s="15"/>
      <c r="AO264" s="13"/>
      <c r="AP264" s="13"/>
      <c r="AQ264" s="16"/>
      <c r="AR264" s="10"/>
      <c r="AS264" s="10"/>
      <c r="AT264" s="10"/>
      <c r="AU264" s="10"/>
      <c r="AV264" s="11"/>
      <c r="AW264" s="11"/>
      <c r="AX264" s="10"/>
      <c r="AY264" s="11"/>
      <c r="AZ264" s="11"/>
      <c r="BA264" s="11"/>
      <c r="BB264" s="10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11"/>
      <c r="BU264" s="11"/>
      <c r="BV264" s="11"/>
      <c r="BW264" s="11"/>
      <c r="BX264" s="11"/>
      <c r="BY264" s="11"/>
      <c r="BZ264" s="11"/>
      <c r="CA264" s="11"/>
      <c r="CB264" s="11"/>
      <c r="CC264" s="17"/>
      <c r="CD264" s="17"/>
      <c r="CE264" s="11"/>
      <c r="CF264" s="13"/>
      <c r="CG264" s="13"/>
      <c r="CH264" s="13"/>
      <c r="CI264" s="13"/>
      <c r="CJ264" s="13"/>
    </row>
    <row r="265" spans="1:88" s="9" customFormat="1" x14ac:dyDescent="0.25">
      <c r="A265" s="10"/>
      <c r="B265" s="10"/>
      <c r="C265" s="10"/>
      <c r="D265" s="10"/>
      <c r="E265" s="11"/>
      <c r="F265" s="10"/>
      <c r="G265" s="10"/>
      <c r="H265" s="10"/>
      <c r="I265" s="10"/>
      <c r="J265" s="10"/>
      <c r="K265" s="12"/>
      <c r="L265" s="10"/>
      <c r="M265" s="10"/>
      <c r="N265" s="13"/>
      <c r="O265" s="10"/>
      <c r="P265" s="10"/>
      <c r="Q265" s="10"/>
      <c r="R265" s="18"/>
      <c r="S265" s="10"/>
      <c r="T265" s="10"/>
      <c r="U265" s="13"/>
      <c r="V265" s="13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3"/>
      <c r="AL265" s="14"/>
      <c r="AM265" s="15"/>
      <c r="AN265" s="15"/>
      <c r="AO265" s="13"/>
      <c r="AP265" s="13"/>
      <c r="AQ265" s="16"/>
      <c r="AR265" s="10"/>
      <c r="AS265" s="10"/>
      <c r="AT265" s="10"/>
      <c r="AU265" s="10"/>
      <c r="AV265" s="11"/>
      <c r="AW265" s="11"/>
      <c r="AX265" s="10"/>
      <c r="AY265" s="11"/>
      <c r="AZ265" s="11"/>
      <c r="BA265" s="11"/>
      <c r="BB265" s="10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  <c r="BU265" s="11"/>
      <c r="BV265" s="11"/>
      <c r="BW265" s="11"/>
      <c r="BX265" s="11"/>
      <c r="BY265" s="11"/>
      <c r="BZ265" s="11"/>
      <c r="CA265" s="11"/>
      <c r="CB265" s="11"/>
      <c r="CC265" s="17"/>
      <c r="CD265" s="17"/>
      <c r="CE265" s="11"/>
      <c r="CF265" s="13"/>
      <c r="CG265" s="13"/>
      <c r="CH265" s="13"/>
      <c r="CI265" s="13"/>
      <c r="CJ265" s="13"/>
    </row>
    <row r="266" spans="1:88" s="9" customFormat="1" x14ac:dyDescent="0.25">
      <c r="A266" s="10"/>
      <c r="B266" s="10"/>
      <c r="C266" s="10"/>
      <c r="D266" s="10"/>
      <c r="E266" s="11"/>
      <c r="F266" s="10"/>
      <c r="G266" s="10"/>
      <c r="H266" s="10"/>
      <c r="I266" s="10"/>
      <c r="J266" s="10"/>
      <c r="K266" s="12"/>
      <c r="L266" s="10"/>
      <c r="M266" s="10"/>
      <c r="N266" s="13"/>
      <c r="O266" s="10"/>
      <c r="P266" s="10"/>
      <c r="Q266" s="10"/>
      <c r="R266" s="18"/>
      <c r="S266" s="10"/>
      <c r="T266" s="10"/>
      <c r="U266" s="13"/>
      <c r="V266" s="13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3"/>
      <c r="AL266" s="14"/>
      <c r="AM266" s="15"/>
      <c r="AN266" s="15"/>
      <c r="AO266" s="13"/>
      <c r="AP266" s="13"/>
      <c r="AQ266" s="16"/>
      <c r="AR266" s="10"/>
      <c r="AS266" s="10"/>
      <c r="AT266" s="10"/>
      <c r="AU266" s="10"/>
      <c r="AV266" s="11"/>
      <c r="AW266" s="11"/>
      <c r="AX266" s="10"/>
      <c r="AY266" s="11"/>
      <c r="AZ266" s="11"/>
      <c r="BA266" s="11"/>
      <c r="BB266" s="10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  <c r="BU266" s="11"/>
      <c r="BV266" s="11"/>
      <c r="BW266" s="11"/>
      <c r="BX266" s="11"/>
      <c r="BY266" s="11"/>
      <c r="BZ266" s="11"/>
      <c r="CA266" s="11"/>
      <c r="CB266" s="11"/>
      <c r="CC266" s="17"/>
      <c r="CD266" s="17"/>
      <c r="CE266" s="11"/>
      <c r="CF266" s="13"/>
      <c r="CG266" s="13"/>
      <c r="CH266" s="13"/>
      <c r="CI266" s="13"/>
      <c r="CJ266" s="13"/>
    </row>
    <row r="267" spans="1:88" s="9" customFormat="1" x14ac:dyDescent="0.25">
      <c r="A267" s="10"/>
      <c r="B267" s="10"/>
      <c r="C267" s="10"/>
      <c r="D267" s="10"/>
      <c r="E267" s="11"/>
      <c r="F267" s="10"/>
      <c r="G267" s="10"/>
      <c r="H267" s="10"/>
      <c r="I267" s="10"/>
      <c r="J267" s="10"/>
      <c r="K267" s="12"/>
      <c r="L267" s="10"/>
      <c r="M267" s="10"/>
      <c r="N267" s="13"/>
      <c r="O267" s="10"/>
      <c r="P267" s="10"/>
      <c r="Q267" s="10"/>
      <c r="R267" s="18"/>
      <c r="S267" s="10"/>
      <c r="T267" s="10"/>
      <c r="U267" s="13"/>
      <c r="V267" s="13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3"/>
      <c r="AL267" s="14"/>
      <c r="AM267" s="15"/>
      <c r="AN267" s="15"/>
      <c r="AO267" s="13"/>
      <c r="AP267" s="13"/>
      <c r="AQ267" s="16"/>
      <c r="AR267" s="10"/>
      <c r="AS267" s="10"/>
      <c r="AT267" s="10"/>
      <c r="AU267" s="10"/>
      <c r="AV267" s="11"/>
      <c r="AW267" s="11"/>
      <c r="AX267" s="10"/>
      <c r="AY267" s="11"/>
      <c r="AZ267" s="11"/>
      <c r="BA267" s="11"/>
      <c r="BB267" s="10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  <c r="BQ267" s="11"/>
      <c r="BR267" s="11"/>
      <c r="BS267" s="11"/>
      <c r="BT267" s="11"/>
      <c r="BU267" s="11"/>
      <c r="BV267" s="11"/>
      <c r="BW267" s="11"/>
      <c r="BX267" s="11"/>
      <c r="BY267" s="11"/>
      <c r="BZ267" s="11"/>
      <c r="CA267" s="11"/>
      <c r="CB267" s="11"/>
      <c r="CC267" s="17"/>
      <c r="CD267" s="17"/>
      <c r="CE267" s="11"/>
      <c r="CF267" s="13"/>
      <c r="CG267" s="13"/>
      <c r="CH267" s="13"/>
      <c r="CI267" s="13"/>
      <c r="CJ267" s="13"/>
    </row>
    <row r="268" spans="1:88" s="9" customFormat="1" x14ac:dyDescent="0.25">
      <c r="A268" s="10"/>
      <c r="B268" s="10"/>
      <c r="C268" s="10"/>
      <c r="D268" s="10"/>
      <c r="E268" s="11"/>
      <c r="F268" s="10"/>
      <c r="G268" s="10"/>
      <c r="H268" s="10"/>
      <c r="I268" s="10"/>
      <c r="J268" s="10"/>
      <c r="K268" s="12"/>
      <c r="L268" s="10"/>
      <c r="M268" s="10"/>
      <c r="N268" s="13"/>
      <c r="O268" s="10"/>
      <c r="P268" s="10"/>
      <c r="Q268" s="10"/>
      <c r="R268" s="18"/>
      <c r="S268" s="10"/>
      <c r="T268" s="10"/>
      <c r="U268" s="13"/>
      <c r="V268" s="13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3"/>
      <c r="AL268" s="14"/>
      <c r="AM268" s="15"/>
      <c r="AN268" s="15"/>
      <c r="AO268" s="13"/>
      <c r="AP268" s="13"/>
      <c r="AQ268" s="16"/>
      <c r="AR268" s="10"/>
      <c r="AS268" s="10"/>
      <c r="AT268" s="10"/>
      <c r="AU268" s="10"/>
      <c r="AV268" s="11"/>
      <c r="AW268" s="11"/>
      <c r="AX268" s="10"/>
      <c r="AY268" s="11"/>
      <c r="AZ268" s="11"/>
      <c r="BA268" s="11"/>
      <c r="BB268" s="10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O268" s="11"/>
      <c r="BP268" s="11"/>
      <c r="BQ268" s="11"/>
      <c r="BR268" s="11"/>
      <c r="BS268" s="11"/>
      <c r="BT268" s="11"/>
      <c r="BU268" s="11"/>
      <c r="BV268" s="11"/>
      <c r="BW268" s="11"/>
      <c r="BX268" s="11"/>
      <c r="BY268" s="11"/>
      <c r="BZ268" s="11"/>
      <c r="CA268" s="11"/>
      <c r="CB268" s="11"/>
      <c r="CC268" s="17"/>
      <c r="CD268" s="17"/>
      <c r="CE268" s="11"/>
      <c r="CF268" s="13"/>
      <c r="CG268" s="13"/>
      <c r="CH268" s="13"/>
      <c r="CI268" s="13"/>
      <c r="CJ268" s="13"/>
    </row>
    <row r="269" spans="1:88" s="9" customFormat="1" x14ac:dyDescent="0.25">
      <c r="A269" s="10"/>
      <c r="B269" s="10"/>
      <c r="C269" s="10"/>
      <c r="D269" s="10"/>
      <c r="E269" s="11"/>
      <c r="F269" s="10"/>
      <c r="G269" s="10"/>
      <c r="H269" s="10"/>
      <c r="I269" s="10"/>
      <c r="J269" s="10"/>
      <c r="K269" s="12"/>
      <c r="L269" s="10"/>
      <c r="M269" s="10"/>
      <c r="N269" s="13"/>
      <c r="O269" s="10"/>
      <c r="P269" s="10"/>
      <c r="Q269" s="10"/>
      <c r="R269" s="18"/>
      <c r="S269" s="10"/>
      <c r="T269" s="10"/>
      <c r="U269" s="13"/>
      <c r="V269" s="13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3"/>
      <c r="AL269" s="14"/>
      <c r="AM269" s="15"/>
      <c r="AN269" s="15"/>
      <c r="AO269" s="13"/>
      <c r="AP269" s="13"/>
      <c r="AQ269" s="16"/>
      <c r="AR269" s="10"/>
      <c r="AS269" s="10"/>
      <c r="AT269" s="10"/>
      <c r="AU269" s="10"/>
      <c r="AV269" s="11"/>
      <c r="AW269" s="11"/>
      <c r="AX269" s="10"/>
      <c r="AY269" s="11"/>
      <c r="AZ269" s="11"/>
      <c r="BA269" s="11"/>
      <c r="BB269" s="10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  <c r="BN269" s="11"/>
      <c r="BO269" s="11"/>
      <c r="BP269" s="11"/>
      <c r="BQ269" s="11"/>
      <c r="BR269" s="11"/>
      <c r="BS269" s="11"/>
      <c r="BT269" s="11"/>
      <c r="BU269" s="11"/>
      <c r="BV269" s="11"/>
      <c r="BW269" s="11"/>
      <c r="BX269" s="11"/>
      <c r="BY269" s="11"/>
      <c r="BZ269" s="11"/>
      <c r="CA269" s="11"/>
      <c r="CB269" s="11"/>
      <c r="CC269" s="17"/>
      <c r="CD269" s="17"/>
      <c r="CE269" s="11"/>
      <c r="CF269" s="13"/>
      <c r="CG269" s="13"/>
      <c r="CH269" s="13"/>
      <c r="CI269" s="13"/>
      <c r="CJ269" s="13"/>
    </row>
    <row r="270" spans="1:88" s="9" customFormat="1" x14ac:dyDescent="0.25">
      <c r="A270" s="10"/>
      <c r="B270" s="10"/>
      <c r="C270" s="10"/>
      <c r="D270" s="10"/>
      <c r="E270" s="11"/>
      <c r="F270" s="10"/>
      <c r="G270" s="10"/>
      <c r="H270" s="10"/>
      <c r="I270" s="10"/>
      <c r="J270" s="10"/>
      <c r="K270" s="12"/>
      <c r="L270" s="10"/>
      <c r="M270" s="10"/>
      <c r="N270" s="13"/>
      <c r="O270" s="10"/>
      <c r="P270" s="10"/>
      <c r="Q270" s="10"/>
      <c r="R270" s="18"/>
      <c r="S270" s="10"/>
      <c r="T270" s="10"/>
      <c r="U270" s="13"/>
      <c r="V270" s="13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3"/>
      <c r="AL270" s="14"/>
      <c r="AM270" s="15"/>
      <c r="AN270" s="15"/>
      <c r="AO270" s="13"/>
      <c r="AP270" s="13"/>
      <c r="AQ270" s="16"/>
      <c r="AR270" s="10"/>
      <c r="AS270" s="10"/>
      <c r="AT270" s="10"/>
      <c r="AU270" s="10"/>
      <c r="AV270" s="11"/>
      <c r="AW270" s="11"/>
      <c r="AX270" s="10"/>
      <c r="AY270" s="11"/>
      <c r="AZ270" s="11"/>
      <c r="BA270" s="11"/>
      <c r="BB270" s="10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  <c r="BN270" s="11"/>
      <c r="BO270" s="11"/>
      <c r="BP270" s="11"/>
      <c r="BQ270" s="11"/>
      <c r="BR270" s="11"/>
      <c r="BS270" s="11"/>
      <c r="BT270" s="11"/>
      <c r="BU270" s="11"/>
      <c r="BV270" s="11"/>
      <c r="BW270" s="11"/>
      <c r="BX270" s="11"/>
      <c r="BY270" s="11"/>
      <c r="BZ270" s="11"/>
      <c r="CA270" s="11"/>
      <c r="CB270" s="11"/>
      <c r="CC270" s="17"/>
      <c r="CD270" s="17"/>
      <c r="CE270" s="11"/>
      <c r="CF270" s="13"/>
      <c r="CG270" s="13"/>
      <c r="CH270" s="13"/>
      <c r="CI270" s="13"/>
      <c r="CJ270" s="13"/>
    </row>
    <row r="271" spans="1:88" s="9" customFormat="1" x14ac:dyDescent="0.25">
      <c r="A271" s="10"/>
      <c r="B271" s="10"/>
      <c r="C271" s="10"/>
      <c r="D271" s="10"/>
      <c r="E271" s="11"/>
      <c r="F271" s="10"/>
      <c r="G271" s="10"/>
      <c r="H271" s="10"/>
      <c r="I271" s="10"/>
      <c r="J271" s="10"/>
      <c r="K271" s="12"/>
      <c r="L271" s="10"/>
      <c r="M271" s="10"/>
      <c r="N271" s="13"/>
      <c r="O271" s="10"/>
      <c r="P271" s="10"/>
      <c r="Q271" s="10"/>
      <c r="R271" s="18"/>
      <c r="S271" s="10"/>
      <c r="T271" s="10"/>
      <c r="U271" s="13"/>
      <c r="V271" s="13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3"/>
      <c r="AL271" s="14"/>
      <c r="AM271" s="15"/>
      <c r="AN271" s="15"/>
      <c r="AO271" s="13"/>
      <c r="AP271" s="13"/>
      <c r="AQ271" s="16"/>
      <c r="AR271" s="10"/>
      <c r="AS271" s="10"/>
      <c r="AT271" s="10"/>
      <c r="AU271" s="10"/>
      <c r="AV271" s="11"/>
      <c r="AW271" s="11"/>
      <c r="AX271" s="10"/>
      <c r="AY271" s="11"/>
      <c r="AZ271" s="11"/>
      <c r="BA271" s="11"/>
      <c r="BB271" s="10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  <c r="BU271" s="11"/>
      <c r="BV271" s="11"/>
      <c r="BW271" s="11"/>
      <c r="BX271" s="11"/>
      <c r="BY271" s="11"/>
      <c r="BZ271" s="11"/>
      <c r="CA271" s="11"/>
      <c r="CB271" s="11"/>
      <c r="CC271" s="17"/>
      <c r="CD271" s="17"/>
      <c r="CE271" s="11"/>
      <c r="CF271" s="13"/>
      <c r="CG271" s="13"/>
      <c r="CH271" s="13"/>
      <c r="CI271" s="13"/>
      <c r="CJ271" s="13"/>
    </row>
    <row r="272" spans="1:88" s="9" customFormat="1" x14ac:dyDescent="0.25">
      <c r="A272" s="10"/>
      <c r="B272" s="10"/>
      <c r="C272" s="10"/>
      <c r="D272" s="10"/>
      <c r="E272" s="11"/>
      <c r="F272" s="10"/>
      <c r="G272" s="10"/>
      <c r="H272" s="10"/>
      <c r="I272" s="10"/>
      <c r="J272" s="10"/>
      <c r="K272" s="12"/>
      <c r="L272" s="10"/>
      <c r="M272" s="10"/>
      <c r="N272" s="13"/>
      <c r="O272" s="10"/>
      <c r="P272" s="10"/>
      <c r="Q272" s="10"/>
      <c r="R272" s="18"/>
      <c r="S272" s="10"/>
      <c r="T272" s="10"/>
      <c r="U272" s="13"/>
      <c r="V272" s="13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3"/>
      <c r="AL272" s="14"/>
      <c r="AM272" s="15"/>
      <c r="AN272" s="15"/>
      <c r="AO272" s="13"/>
      <c r="AP272" s="13"/>
      <c r="AQ272" s="16"/>
      <c r="AR272" s="10"/>
      <c r="AS272" s="10"/>
      <c r="AT272" s="10"/>
      <c r="AU272" s="10"/>
      <c r="AV272" s="11"/>
      <c r="AW272" s="11"/>
      <c r="AX272" s="10"/>
      <c r="AY272" s="11"/>
      <c r="AZ272" s="11"/>
      <c r="BA272" s="11"/>
      <c r="BB272" s="10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11"/>
      <c r="BU272" s="11"/>
      <c r="BV272" s="11"/>
      <c r="BW272" s="11"/>
      <c r="BX272" s="11"/>
      <c r="BY272" s="11"/>
      <c r="BZ272" s="11"/>
      <c r="CA272" s="11"/>
      <c r="CB272" s="11"/>
      <c r="CC272" s="17"/>
      <c r="CD272" s="17"/>
      <c r="CE272" s="11"/>
      <c r="CF272" s="13"/>
      <c r="CG272" s="13"/>
      <c r="CH272" s="13"/>
      <c r="CI272" s="13"/>
      <c r="CJ272" s="13"/>
    </row>
    <row r="273" spans="1:88" s="9" customFormat="1" x14ac:dyDescent="0.25">
      <c r="A273" s="10"/>
      <c r="B273" s="10"/>
      <c r="C273" s="10"/>
      <c r="D273" s="10"/>
      <c r="E273" s="11"/>
      <c r="F273" s="10"/>
      <c r="G273" s="10"/>
      <c r="H273" s="10"/>
      <c r="I273" s="10"/>
      <c r="J273" s="10"/>
      <c r="K273" s="12"/>
      <c r="L273" s="10"/>
      <c r="M273" s="10"/>
      <c r="N273" s="13"/>
      <c r="O273" s="10"/>
      <c r="P273" s="10"/>
      <c r="Q273" s="10"/>
      <c r="R273" s="18"/>
      <c r="S273" s="10"/>
      <c r="T273" s="10"/>
      <c r="U273" s="13"/>
      <c r="V273" s="13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3"/>
      <c r="AL273" s="14"/>
      <c r="AM273" s="15"/>
      <c r="AN273" s="15"/>
      <c r="AO273" s="13"/>
      <c r="AP273" s="13"/>
      <c r="AQ273" s="16"/>
      <c r="AR273" s="10"/>
      <c r="AS273" s="10"/>
      <c r="AT273" s="10"/>
      <c r="AU273" s="10"/>
      <c r="AV273" s="11"/>
      <c r="AW273" s="11"/>
      <c r="AX273" s="10"/>
      <c r="AY273" s="11"/>
      <c r="AZ273" s="11"/>
      <c r="BA273" s="11"/>
      <c r="BB273" s="10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  <c r="BV273" s="11"/>
      <c r="BW273" s="11"/>
      <c r="BX273" s="11"/>
      <c r="BY273" s="11"/>
      <c r="BZ273" s="11"/>
      <c r="CA273" s="11"/>
      <c r="CB273" s="11"/>
      <c r="CC273" s="17"/>
      <c r="CD273" s="17"/>
      <c r="CE273" s="11"/>
      <c r="CF273" s="13"/>
      <c r="CG273" s="13"/>
      <c r="CH273" s="13"/>
      <c r="CI273" s="13"/>
      <c r="CJ273" s="13"/>
    </row>
    <row r="274" spans="1:88" s="9" customFormat="1" x14ac:dyDescent="0.25">
      <c r="A274" s="10"/>
      <c r="B274" s="10"/>
      <c r="C274" s="10"/>
      <c r="D274" s="10"/>
      <c r="E274" s="11"/>
      <c r="F274" s="10"/>
      <c r="G274" s="10"/>
      <c r="H274" s="10"/>
      <c r="I274" s="10"/>
      <c r="J274" s="10"/>
      <c r="K274" s="12"/>
      <c r="L274" s="10"/>
      <c r="M274" s="10"/>
      <c r="N274" s="13"/>
      <c r="O274" s="10"/>
      <c r="P274" s="10"/>
      <c r="Q274" s="10"/>
      <c r="R274" s="18"/>
      <c r="S274" s="10"/>
      <c r="T274" s="10"/>
      <c r="U274" s="13"/>
      <c r="V274" s="13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3"/>
      <c r="AL274" s="14"/>
      <c r="AM274" s="15"/>
      <c r="AN274" s="15"/>
      <c r="AO274" s="13"/>
      <c r="AP274" s="13"/>
      <c r="AQ274" s="16"/>
      <c r="AR274" s="10"/>
      <c r="AS274" s="10"/>
      <c r="AT274" s="10"/>
      <c r="AU274" s="10"/>
      <c r="AV274" s="11"/>
      <c r="AW274" s="11"/>
      <c r="AX274" s="10"/>
      <c r="AY274" s="11"/>
      <c r="AZ274" s="11"/>
      <c r="BA274" s="11"/>
      <c r="BB274" s="10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11"/>
      <c r="BU274" s="11"/>
      <c r="BV274" s="11"/>
      <c r="BW274" s="11"/>
      <c r="BX274" s="11"/>
      <c r="BY274" s="11"/>
      <c r="BZ274" s="11"/>
      <c r="CA274" s="11"/>
      <c r="CB274" s="11"/>
      <c r="CC274" s="17"/>
      <c r="CD274" s="17"/>
      <c r="CE274" s="11"/>
      <c r="CF274" s="13"/>
      <c r="CG274" s="13"/>
      <c r="CH274" s="13"/>
      <c r="CI274" s="13"/>
      <c r="CJ274" s="13"/>
    </row>
    <row r="275" spans="1:88" s="9" customFormat="1" x14ac:dyDescent="0.25">
      <c r="A275" s="10"/>
      <c r="B275" s="10"/>
      <c r="C275" s="10"/>
      <c r="D275" s="10"/>
      <c r="E275" s="11"/>
      <c r="F275" s="10"/>
      <c r="G275" s="10"/>
      <c r="H275" s="10"/>
      <c r="I275" s="10"/>
      <c r="J275" s="10"/>
      <c r="K275" s="12"/>
      <c r="L275" s="10"/>
      <c r="M275" s="10"/>
      <c r="N275" s="13"/>
      <c r="O275" s="10"/>
      <c r="P275" s="10"/>
      <c r="Q275" s="10"/>
      <c r="R275" s="18"/>
      <c r="S275" s="10"/>
      <c r="T275" s="10"/>
      <c r="U275" s="13"/>
      <c r="V275" s="13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3"/>
      <c r="AL275" s="14"/>
      <c r="AM275" s="15"/>
      <c r="AN275" s="15"/>
      <c r="AO275" s="13"/>
      <c r="AP275" s="13"/>
      <c r="AQ275" s="16"/>
      <c r="AR275" s="10"/>
      <c r="AS275" s="10"/>
      <c r="AT275" s="10"/>
      <c r="AU275" s="10"/>
      <c r="AV275" s="11"/>
      <c r="AW275" s="11"/>
      <c r="AX275" s="10"/>
      <c r="AY275" s="11"/>
      <c r="AZ275" s="11"/>
      <c r="BA275" s="11"/>
      <c r="BB275" s="10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O275" s="11"/>
      <c r="BP275" s="11"/>
      <c r="BQ275" s="11"/>
      <c r="BR275" s="11"/>
      <c r="BS275" s="11"/>
      <c r="BT275" s="11"/>
      <c r="BU275" s="11"/>
      <c r="BV275" s="11"/>
      <c r="BW275" s="11"/>
      <c r="BX275" s="11"/>
      <c r="BY275" s="11"/>
      <c r="BZ275" s="11"/>
      <c r="CA275" s="11"/>
      <c r="CB275" s="11"/>
      <c r="CC275" s="17"/>
      <c r="CD275" s="17"/>
      <c r="CE275" s="11"/>
      <c r="CF275" s="13"/>
      <c r="CG275" s="13"/>
      <c r="CH275" s="13"/>
      <c r="CI275" s="13"/>
      <c r="CJ275" s="13"/>
    </row>
    <row r="276" spans="1:88" s="9" customFormat="1" x14ac:dyDescent="0.25">
      <c r="A276" s="10"/>
      <c r="B276" s="10"/>
      <c r="C276" s="10"/>
      <c r="D276" s="10"/>
      <c r="E276" s="11"/>
      <c r="F276" s="10"/>
      <c r="G276" s="10"/>
      <c r="H276" s="10"/>
      <c r="I276" s="10"/>
      <c r="J276" s="10"/>
      <c r="K276" s="12"/>
      <c r="L276" s="10"/>
      <c r="M276" s="10"/>
      <c r="N276" s="13"/>
      <c r="O276" s="10"/>
      <c r="P276" s="10"/>
      <c r="Q276" s="10"/>
      <c r="R276" s="18"/>
      <c r="S276" s="10"/>
      <c r="T276" s="10"/>
      <c r="U276" s="13"/>
      <c r="V276" s="13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3"/>
      <c r="AL276" s="14"/>
      <c r="AM276" s="15"/>
      <c r="AN276" s="15"/>
      <c r="AO276" s="13"/>
      <c r="AP276" s="13"/>
      <c r="AQ276" s="16"/>
      <c r="AR276" s="10"/>
      <c r="AS276" s="10"/>
      <c r="AT276" s="10"/>
      <c r="AU276" s="10"/>
      <c r="AV276" s="11"/>
      <c r="AW276" s="11"/>
      <c r="AX276" s="10"/>
      <c r="AY276" s="11"/>
      <c r="AZ276" s="11"/>
      <c r="BA276" s="11"/>
      <c r="BB276" s="10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11"/>
      <c r="BU276" s="11"/>
      <c r="BV276" s="11"/>
      <c r="BW276" s="11"/>
      <c r="BX276" s="11"/>
      <c r="BY276" s="11"/>
      <c r="BZ276" s="11"/>
      <c r="CA276" s="11"/>
      <c r="CB276" s="11"/>
      <c r="CC276" s="17"/>
      <c r="CD276" s="17"/>
      <c r="CE276" s="11"/>
      <c r="CF276" s="13"/>
      <c r="CG276" s="13"/>
      <c r="CH276" s="13"/>
      <c r="CI276" s="13"/>
      <c r="CJ276" s="13"/>
    </row>
    <row r="277" spans="1:88" s="9" customFormat="1" x14ac:dyDescent="0.25">
      <c r="A277" s="10"/>
      <c r="B277" s="10"/>
      <c r="C277" s="10"/>
      <c r="D277" s="10"/>
      <c r="E277" s="11"/>
      <c r="F277" s="10"/>
      <c r="G277" s="10"/>
      <c r="H277" s="10"/>
      <c r="I277" s="10"/>
      <c r="J277" s="10"/>
      <c r="K277" s="12"/>
      <c r="L277" s="10"/>
      <c r="M277" s="10"/>
      <c r="N277" s="13"/>
      <c r="O277" s="10"/>
      <c r="P277" s="10"/>
      <c r="Q277" s="10"/>
      <c r="R277" s="18"/>
      <c r="S277" s="10"/>
      <c r="T277" s="10"/>
      <c r="U277" s="13"/>
      <c r="V277" s="13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3"/>
      <c r="AL277" s="14"/>
      <c r="AM277" s="15"/>
      <c r="AN277" s="15"/>
      <c r="AO277" s="13"/>
      <c r="AP277" s="13"/>
      <c r="AQ277" s="16"/>
      <c r="AR277" s="10"/>
      <c r="AS277" s="10"/>
      <c r="AT277" s="10"/>
      <c r="AU277" s="10"/>
      <c r="AV277" s="11"/>
      <c r="AW277" s="11"/>
      <c r="AX277" s="10"/>
      <c r="AY277" s="11"/>
      <c r="AZ277" s="11"/>
      <c r="BA277" s="11"/>
      <c r="BB277" s="10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  <c r="BQ277" s="11"/>
      <c r="BR277" s="11"/>
      <c r="BS277" s="11"/>
      <c r="BT277" s="11"/>
      <c r="BU277" s="11"/>
      <c r="BV277" s="11"/>
      <c r="BW277" s="11"/>
      <c r="BX277" s="11"/>
      <c r="BY277" s="11"/>
      <c r="BZ277" s="11"/>
      <c r="CA277" s="11"/>
      <c r="CB277" s="11"/>
      <c r="CC277" s="17"/>
      <c r="CD277" s="17"/>
      <c r="CE277" s="11"/>
      <c r="CF277" s="13"/>
      <c r="CG277" s="13"/>
      <c r="CH277" s="13"/>
      <c r="CI277" s="13"/>
      <c r="CJ277" s="13"/>
    </row>
    <row r="278" spans="1:88" s="9" customFormat="1" x14ac:dyDescent="0.25">
      <c r="A278" s="10"/>
      <c r="B278" s="10"/>
      <c r="C278" s="10"/>
      <c r="D278" s="10"/>
      <c r="E278" s="11"/>
      <c r="F278" s="10"/>
      <c r="G278" s="10"/>
      <c r="H278" s="10"/>
      <c r="I278" s="10"/>
      <c r="J278" s="10"/>
      <c r="K278" s="12"/>
      <c r="L278" s="10"/>
      <c r="M278" s="10"/>
      <c r="N278" s="13"/>
      <c r="O278" s="10"/>
      <c r="P278" s="10"/>
      <c r="Q278" s="10"/>
      <c r="R278" s="18"/>
      <c r="S278" s="10"/>
      <c r="T278" s="10"/>
      <c r="U278" s="13"/>
      <c r="V278" s="13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3"/>
      <c r="AL278" s="14"/>
      <c r="AM278" s="15"/>
      <c r="AN278" s="15"/>
      <c r="AO278" s="13"/>
      <c r="AP278" s="13"/>
      <c r="AQ278" s="16"/>
      <c r="AR278" s="10"/>
      <c r="AS278" s="10"/>
      <c r="AT278" s="10"/>
      <c r="AU278" s="10"/>
      <c r="AV278" s="11"/>
      <c r="AW278" s="11"/>
      <c r="AX278" s="10"/>
      <c r="AY278" s="11"/>
      <c r="AZ278" s="11"/>
      <c r="BA278" s="11"/>
      <c r="BB278" s="10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11"/>
      <c r="BU278" s="11"/>
      <c r="BV278" s="11"/>
      <c r="BW278" s="11"/>
      <c r="BX278" s="11"/>
      <c r="BY278" s="11"/>
      <c r="BZ278" s="11"/>
      <c r="CA278" s="11"/>
      <c r="CB278" s="11"/>
      <c r="CC278" s="17"/>
      <c r="CD278" s="17"/>
      <c r="CE278" s="11"/>
      <c r="CF278" s="13"/>
      <c r="CG278" s="13"/>
      <c r="CH278" s="13"/>
      <c r="CI278" s="13"/>
      <c r="CJ278" s="13"/>
    </row>
    <row r="279" spans="1:88" s="9" customFormat="1" x14ac:dyDescent="0.25">
      <c r="A279" s="10"/>
      <c r="B279" s="10"/>
      <c r="C279" s="10"/>
      <c r="D279" s="10"/>
      <c r="E279" s="11"/>
      <c r="F279" s="10"/>
      <c r="G279" s="10"/>
      <c r="H279" s="10"/>
      <c r="I279" s="10"/>
      <c r="J279" s="10"/>
      <c r="K279" s="12"/>
      <c r="L279" s="10"/>
      <c r="M279" s="10"/>
      <c r="N279" s="13"/>
      <c r="O279" s="10"/>
      <c r="P279" s="10"/>
      <c r="Q279" s="10"/>
      <c r="R279" s="18"/>
      <c r="S279" s="10"/>
      <c r="T279" s="10"/>
      <c r="U279" s="13"/>
      <c r="V279" s="13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3"/>
      <c r="AL279" s="14"/>
      <c r="AM279" s="15"/>
      <c r="AN279" s="15"/>
      <c r="AO279" s="13"/>
      <c r="AP279" s="13"/>
      <c r="AQ279" s="16"/>
      <c r="AR279" s="10"/>
      <c r="AS279" s="10"/>
      <c r="AT279" s="10"/>
      <c r="AU279" s="10"/>
      <c r="AV279" s="11"/>
      <c r="AW279" s="11"/>
      <c r="AX279" s="10"/>
      <c r="AY279" s="11"/>
      <c r="AZ279" s="11"/>
      <c r="BA279" s="11"/>
      <c r="BB279" s="10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  <c r="BP279" s="11"/>
      <c r="BQ279" s="11"/>
      <c r="BR279" s="11"/>
      <c r="BS279" s="11"/>
      <c r="BT279" s="11"/>
      <c r="BU279" s="11"/>
      <c r="BV279" s="11"/>
      <c r="BW279" s="11"/>
      <c r="BX279" s="11"/>
      <c r="BY279" s="11"/>
      <c r="BZ279" s="11"/>
      <c r="CA279" s="11"/>
      <c r="CB279" s="11"/>
      <c r="CC279" s="17"/>
      <c r="CD279" s="17"/>
      <c r="CE279" s="11"/>
      <c r="CF279" s="13"/>
      <c r="CG279" s="13"/>
      <c r="CH279" s="13"/>
      <c r="CI279" s="13"/>
      <c r="CJ279" s="13"/>
    </row>
    <row r="280" spans="1:88" s="9" customFormat="1" x14ac:dyDescent="0.25">
      <c r="A280" s="10"/>
      <c r="B280" s="10"/>
      <c r="C280" s="10"/>
      <c r="D280" s="10"/>
      <c r="E280" s="11"/>
      <c r="F280" s="10"/>
      <c r="G280" s="10"/>
      <c r="H280" s="10"/>
      <c r="I280" s="10"/>
      <c r="J280" s="10"/>
      <c r="K280" s="12"/>
      <c r="L280" s="10"/>
      <c r="M280" s="10"/>
      <c r="N280" s="13"/>
      <c r="O280" s="10"/>
      <c r="P280" s="10"/>
      <c r="Q280" s="10"/>
      <c r="R280" s="18"/>
      <c r="S280" s="10"/>
      <c r="T280" s="10"/>
      <c r="U280" s="13"/>
      <c r="V280" s="13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3"/>
      <c r="AL280" s="14"/>
      <c r="AM280" s="15"/>
      <c r="AN280" s="15"/>
      <c r="AO280" s="13"/>
      <c r="AP280" s="13"/>
      <c r="AQ280" s="16"/>
      <c r="AR280" s="10"/>
      <c r="AS280" s="10"/>
      <c r="AT280" s="10"/>
      <c r="AU280" s="10"/>
      <c r="AV280" s="11"/>
      <c r="AW280" s="11"/>
      <c r="AX280" s="10"/>
      <c r="AY280" s="11"/>
      <c r="AZ280" s="11"/>
      <c r="BA280" s="11"/>
      <c r="BB280" s="10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  <c r="BO280" s="11"/>
      <c r="BP280" s="11"/>
      <c r="BQ280" s="11"/>
      <c r="BR280" s="11"/>
      <c r="BS280" s="11"/>
      <c r="BT280" s="11"/>
      <c r="BU280" s="11"/>
      <c r="BV280" s="11"/>
      <c r="BW280" s="11"/>
      <c r="BX280" s="11"/>
      <c r="BY280" s="11"/>
      <c r="BZ280" s="11"/>
      <c r="CA280" s="11"/>
      <c r="CB280" s="11"/>
      <c r="CC280" s="17"/>
      <c r="CD280" s="17"/>
      <c r="CE280" s="11"/>
      <c r="CF280" s="13"/>
      <c r="CG280" s="13"/>
      <c r="CH280" s="13"/>
      <c r="CI280" s="13"/>
      <c r="CJ280" s="13"/>
    </row>
    <row r="281" spans="1:88" s="9" customFormat="1" x14ac:dyDescent="0.25">
      <c r="A281" s="10"/>
      <c r="B281" s="10"/>
      <c r="C281" s="10"/>
      <c r="D281" s="10"/>
      <c r="E281" s="11"/>
      <c r="F281" s="10"/>
      <c r="G281" s="10"/>
      <c r="H281" s="10"/>
      <c r="I281" s="10"/>
      <c r="J281" s="10"/>
      <c r="K281" s="12"/>
      <c r="L281" s="10"/>
      <c r="M281" s="10"/>
      <c r="N281" s="13"/>
      <c r="O281" s="10"/>
      <c r="P281" s="10"/>
      <c r="Q281" s="10"/>
      <c r="R281" s="18"/>
      <c r="S281" s="10"/>
      <c r="T281" s="10"/>
      <c r="U281" s="13"/>
      <c r="V281" s="13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3"/>
      <c r="AL281" s="14"/>
      <c r="AM281" s="15"/>
      <c r="AN281" s="15"/>
      <c r="AO281" s="13"/>
      <c r="AP281" s="13"/>
      <c r="AQ281" s="16"/>
      <c r="AR281" s="10"/>
      <c r="AS281" s="10"/>
      <c r="AT281" s="10"/>
      <c r="AU281" s="10"/>
      <c r="AV281" s="11"/>
      <c r="AW281" s="11"/>
      <c r="AX281" s="10"/>
      <c r="AY281" s="11"/>
      <c r="AZ281" s="11"/>
      <c r="BA281" s="11"/>
      <c r="BB281" s="10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  <c r="BN281" s="11"/>
      <c r="BO281" s="11"/>
      <c r="BP281" s="11"/>
      <c r="BQ281" s="11"/>
      <c r="BR281" s="11"/>
      <c r="BS281" s="11"/>
      <c r="BT281" s="11"/>
      <c r="BU281" s="11"/>
      <c r="BV281" s="11"/>
      <c r="BW281" s="11"/>
      <c r="BX281" s="11"/>
      <c r="BY281" s="11"/>
      <c r="BZ281" s="11"/>
      <c r="CA281" s="11"/>
      <c r="CB281" s="11"/>
      <c r="CC281" s="17"/>
      <c r="CD281" s="17"/>
      <c r="CE281" s="11"/>
      <c r="CF281" s="13"/>
      <c r="CG281" s="13"/>
      <c r="CH281" s="13"/>
      <c r="CI281" s="13"/>
      <c r="CJ281" s="13"/>
    </row>
    <row r="282" spans="1:88" s="9" customFormat="1" x14ac:dyDescent="0.25">
      <c r="A282" s="10"/>
      <c r="B282" s="10"/>
      <c r="C282" s="10"/>
      <c r="D282" s="10"/>
      <c r="E282" s="11"/>
      <c r="F282" s="10"/>
      <c r="G282" s="10"/>
      <c r="H282" s="10"/>
      <c r="I282" s="10"/>
      <c r="J282" s="10"/>
      <c r="K282" s="12"/>
      <c r="L282" s="10"/>
      <c r="M282" s="10"/>
      <c r="N282" s="13"/>
      <c r="O282" s="10"/>
      <c r="P282" s="10"/>
      <c r="Q282" s="10"/>
      <c r="R282" s="18"/>
      <c r="S282" s="10"/>
      <c r="T282" s="10"/>
      <c r="U282" s="13"/>
      <c r="V282" s="13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3"/>
      <c r="AL282" s="14"/>
      <c r="AM282" s="15"/>
      <c r="AN282" s="15"/>
      <c r="AO282" s="13"/>
      <c r="AP282" s="13"/>
      <c r="AQ282" s="16"/>
      <c r="AR282" s="10"/>
      <c r="AS282" s="10"/>
      <c r="AT282" s="10"/>
      <c r="AU282" s="10"/>
      <c r="AV282" s="11"/>
      <c r="AW282" s="11"/>
      <c r="AX282" s="10"/>
      <c r="AY282" s="11"/>
      <c r="AZ282" s="11"/>
      <c r="BA282" s="11"/>
      <c r="BB282" s="10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  <c r="BP282" s="11"/>
      <c r="BQ282" s="11"/>
      <c r="BR282" s="11"/>
      <c r="BS282" s="11"/>
      <c r="BT282" s="11"/>
      <c r="BU282" s="11"/>
      <c r="BV282" s="11"/>
      <c r="BW282" s="11"/>
      <c r="BX282" s="11"/>
      <c r="BY282" s="11"/>
      <c r="BZ282" s="11"/>
      <c r="CA282" s="11"/>
      <c r="CB282" s="11"/>
      <c r="CC282" s="17"/>
      <c r="CD282" s="17"/>
      <c r="CE282" s="11"/>
      <c r="CF282" s="13"/>
      <c r="CG282" s="13"/>
      <c r="CH282" s="13"/>
      <c r="CI282" s="13"/>
      <c r="CJ282" s="13"/>
    </row>
    <row r="283" spans="1:88" s="9" customFormat="1" x14ac:dyDescent="0.25">
      <c r="A283" s="10"/>
      <c r="B283" s="10"/>
      <c r="C283" s="10"/>
      <c r="D283" s="10"/>
      <c r="E283" s="11"/>
      <c r="F283" s="10"/>
      <c r="G283" s="10"/>
      <c r="H283" s="10"/>
      <c r="I283" s="10"/>
      <c r="J283" s="10"/>
      <c r="K283" s="12"/>
      <c r="L283" s="10"/>
      <c r="M283" s="10"/>
      <c r="N283" s="13"/>
      <c r="O283" s="10"/>
      <c r="P283" s="10"/>
      <c r="Q283" s="10"/>
      <c r="R283" s="18"/>
      <c r="S283" s="10"/>
      <c r="T283" s="10"/>
      <c r="U283" s="13"/>
      <c r="V283" s="13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3"/>
      <c r="AL283" s="14"/>
      <c r="AM283" s="15"/>
      <c r="AN283" s="15"/>
      <c r="AO283" s="13"/>
      <c r="AP283" s="13"/>
      <c r="AQ283" s="16"/>
      <c r="AR283" s="10"/>
      <c r="AS283" s="10"/>
      <c r="AT283" s="10"/>
      <c r="AU283" s="10"/>
      <c r="AV283" s="11"/>
      <c r="AW283" s="11"/>
      <c r="AX283" s="10"/>
      <c r="AY283" s="11"/>
      <c r="AZ283" s="11"/>
      <c r="BA283" s="11"/>
      <c r="BB283" s="10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O283" s="11"/>
      <c r="BP283" s="11"/>
      <c r="BQ283" s="11"/>
      <c r="BR283" s="11"/>
      <c r="BS283" s="11"/>
      <c r="BT283" s="11"/>
      <c r="BU283" s="11"/>
      <c r="BV283" s="11"/>
      <c r="BW283" s="11"/>
      <c r="BX283" s="11"/>
      <c r="BY283" s="11"/>
      <c r="BZ283" s="11"/>
      <c r="CA283" s="11"/>
      <c r="CB283" s="11"/>
      <c r="CC283" s="17"/>
      <c r="CD283" s="17"/>
      <c r="CE283" s="11"/>
      <c r="CF283" s="13"/>
      <c r="CG283" s="13"/>
      <c r="CH283" s="13"/>
      <c r="CI283" s="13"/>
      <c r="CJ283" s="13"/>
    </row>
    <row r="284" spans="1:88" s="9" customFormat="1" x14ac:dyDescent="0.25">
      <c r="A284" s="10"/>
      <c r="B284" s="10"/>
      <c r="C284" s="10"/>
      <c r="D284" s="10"/>
      <c r="E284" s="11"/>
      <c r="F284" s="10"/>
      <c r="G284" s="10"/>
      <c r="H284" s="10"/>
      <c r="I284" s="10"/>
      <c r="J284" s="10"/>
      <c r="K284" s="12"/>
      <c r="L284" s="10"/>
      <c r="M284" s="10"/>
      <c r="N284" s="13"/>
      <c r="O284" s="10"/>
      <c r="P284" s="10"/>
      <c r="Q284" s="10"/>
      <c r="R284" s="18"/>
      <c r="S284" s="10"/>
      <c r="T284" s="10"/>
      <c r="U284" s="13"/>
      <c r="V284" s="13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3"/>
      <c r="AL284" s="14"/>
      <c r="AM284" s="15"/>
      <c r="AN284" s="15"/>
      <c r="AO284" s="13"/>
      <c r="AP284" s="13"/>
      <c r="AQ284" s="16"/>
      <c r="AR284" s="10"/>
      <c r="AS284" s="10"/>
      <c r="AT284" s="10"/>
      <c r="AU284" s="10"/>
      <c r="AV284" s="11"/>
      <c r="AW284" s="11"/>
      <c r="AX284" s="10"/>
      <c r="AY284" s="11"/>
      <c r="AZ284" s="11"/>
      <c r="BA284" s="11"/>
      <c r="BB284" s="10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  <c r="BN284" s="11"/>
      <c r="BO284" s="11"/>
      <c r="BP284" s="11"/>
      <c r="BQ284" s="11"/>
      <c r="BR284" s="11"/>
      <c r="BS284" s="11"/>
      <c r="BT284" s="11"/>
      <c r="BU284" s="11"/>
      <c r="BV284" s="11"/>
      <c r="BW284" s="11"/>
      <c r="BX284" s="11"/>
      <c r="BY284" s="11"/>
      <c r="BZ284" s="11"/>
      <c r="CA284" s="11"/>
      <c r="CB284" s="11"/>
      <c r="CC284" s="17"/>
      <c r="CD284" s="17"/>
      <c r="CE284" s="11"/>
      <c r="CF284" s="13"/>
      <c r="CG284" s="13"/>
      <c r="CH284" s="13"/>
      <c r="CI284" s="13"/>
      <c r="CJ284" s="13"/>
    </row>
    <row r="285" spans="1:88" s="9" customFormat="1" x14ac:dyDescent="0.25">
      <c r="A285" s="10"/>
      <c r="B285" s="10"/>
      <c r="C285" s="10"/>
      <c r="D285" s="10"/>
      <c r="E285" s="11"/>
      <c r="F285" s="10"/>
      <c r="G285" s="10"/>
      <c r="H285" s="10"/>
      <c r="I285" s="10"/>
      <c r="J285" s="10"/>
      <c r="K285" s="12"/>
      <c r="L285" s="10"/>
      <c r="M285" s="10"/>
      <c r="N285" s="13"/>
      <c r="O285" s="10"/>
      <c r="P285" s="10"/>
      <c r="Q285" s="10"/>
      <c r="R285" s="18"/>
      <c r="S285" s="10"/>
      <c r="T285" s="10"/>
      <c r="U285" s="13"/>
      <c r="V285" s="13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3"/>
      <c r="AL285" s="14"/>
      <c r="AM285" s="15"/>
      <c r="AN285" s="15"/>
      <c r="AO285" s="13"/>
      <c r="AP285" s="13"/>
      <c r="AQ285" s="16"/>
      <c r="AR285" s="10"/>
      <c r="AS285" s="10"/>
      <c r="AT285" s="10"/>
      <c r="AU285" s="10"/>
      <c r="AV285" s="11"/>
      <c r="AW285" s="11"/>
      <c r="AX285" s="10"/>
      <c r="AY285" s="11"/>
      <c r="AZ285" s="11"/>
      <c r="BA285" s="11"/>
      <c r="BB285" s="10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  <c r="BN285" s="11"/>
      <c r="BO285" s="11"/>
      <c r="BP285" s="11"/>
      <c r="BQ285" s="11"/>
      <c r="BR285" s="11"/>
      <c r="BS285" s="11"/>
      <c r="BT285" s="11"/>
      <c r="BU285" s="11"/>
      <c r="BV285" s="11"/>
      <c r="BW285" s="11"/>
      <c r="BX285" s="11"/>
      <c r="BY285" s="11"/>
      <c r="BZ285" s="11"/>
      <c r="CA285" s="11"/>
      <c r="CB285" s="11"/>
      <c r="CC285" s="17"/>
      <c r="CD285" s="17"/>
      <c r="CE285" s="11"/>
      <c r="CF285" s="13"/>
      <c r="CG285" s="13"/>
      <c r="CH285" s="13"/>
      <c r="CI285" s="13"/>
      <c r="CJ285" s="13"/>
    </row>
    <row r="286" spans="1:88" s="9" customFormat="1" x14ac:dyDescent="0.25">
      <c r="A286" s="10"/>
      <c r="B286" s="10"/>
      <c r="C286" s="10"/>
      <c r="D286" s="10"/>
      <c r="E286" s="11"/>
      <c r="F286" s="10"/>
      <c r="G286" s="10"/>
      <c r="H286" s="10"/>
      <c r="I286" s="10"/>
      <c r="J286" s="10"/>
      <c r="K286" s="12"/>
      <c r="L286" s="10"/>
      <c r="M286" s="10"/>
      <c r="N286" s="13"/>
      <c r="O286" s="10"/>
      <c r="P286" s="10"/>
      <c r="Q286" s="10"/>
      <c r="R286" s="18"/>
      <c r="S286" s="10"/>
      <c r="T286" s="10"/>
      <c r="U286" s="13"/>
      <c r="V286" s="13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3"/>
      <c r="AL286" s="14"/>
      <c r="AM286" s="15"/>
      <c r="AN286" s="15"/>
      <c r="AO286" s="13"/>
      <c r="AP286" s="13"/>
      <c r="AQ286" s="16"/>
      <c r="AR286" s="10"/>
      <c r="AS286" s="10"/>
      <c r="AT286" s="10"/>
      <c r="AU286" s="10"/>
      <c r="AV286" s="11"/>
      <c r="AW286" s="11"/>
      <c r="AX286" s="10"/>
      <c r="AY286" s="11"/>
      <c r="AZ286" s="11"/>
      <c r="BA286" s="11"/>
      <c r="BB286" s="10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  <c r="BN286" s="11"/>
      <c r="BO286" s="11"/>
      <c r="BP286" s="11"/>
      <c r="BQ286" s="11"/>
      <c r="BR286" s="11"/>
      <c r="BS286" s="11"/>
      <c r="BT286" s="11"/>
      <c r="BU286" s="11"/>
      <c r="BV286" s="11"/>
      <c r="BW286" s="11"/>
      <c r="BX286" s="11"/>
      <c r="BY286" s="11"/>
      <c r="BZ286" s="11"/>
      <c r="CA286" s="11"/>
      <c r="CB286" s="11"/>
      <c r="CC286" s="17"/>
      <c r="CD286" s="17"/>
      <c r="CE286" s="11"/>
      <c r="CF286" s="13"/>
      <c r="CG286" s="13"/>
      <c r="CH286" s="13"/>
      <c r="CI286" s="13"/>
      <c r="CJ286" s="13"/>
    </row>
    <row r="287" spans="1:88" s="9" customFormat="1" x14ac:dyDescent="0.25">
      <c r="A287" s="10"/>
      <c r="B287" s="10"/>
      <c r="C287" s="10"/>
      <c r="D287" s="10"/>
      <c r="E287" s="11"/>
      <c r="F287" s="10"/>
      <c r="G287" s="10"/>
      <c r="H287" s="10"/>
      <c r="I287" s="10"/>
      <c r="J287" s="10"/>
      <c r="K287" s="12"/>
      <c r="L287" s="10"/>
      <c r="M287" s="10"/>
      <c r="N287" s="13"/>
      <c r="O287" s="10"/>
      <c r="P287" s="10"/>
      <c r="Q287" s="10"/>
      <c r="R287" s="18"/>
      <c r="S287" s="10"/>
      <c r="T287" s="10"/>
      <c r="U287" s="13"/>
      <c r="V287" s="13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3"/>
      <c r="AL287" s="14"/>
      <c r="AM287" s="15"/>
      <c r="AN287" s="15"/>
      <c r="AO287" s="13"/>
      <c r="AP287" s="13"/>
      <c r="AQ287" s="16"/>
      <c r="AR287" s="10"/>
      <c r="AS287" s="10"/>
      <c r="AT287" s="10"/>
      <c r="AU287" s="10"/>
      <c r="AV287" s="11"/>
      <c r="AW287" s="11"/>
      <c r="AX287" s="10"/>
      <c r="AY287" s="11"/>
      <c r="AZ287" s="11"/>
      <c r="BA287" s="11"/>
      <c r="BB287" s="10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O287" s="11"/>
      <c r="BP287" s="11"/>
      <c r="BQ287" s="11"/>
      <c r="BR287" s="11"/>
      <c r="BS287" s="11"/>
      <c r="BT287" s="11"/>
      <c r="BU287" s="11"/>
      <c r="BV287" s="11"/>
      <c r="BW287" s="11"/>
      <c r="BX287" s="11"/>
      <c r="BY287" s="11"/>
      <c r="BZ287" s="11"/>
      <c r="CA287" s="11"/>
      <c r="CB287" s="11"/>
      <c r="CC287" s="17"/>
      <c r="CD287" s="17"/>
      <c r="CE287" s="11"/>
      <c r="CF287" s="13"/>
      <c r="CG287" s="13"/>
      <c r="CH287" s="13"/>
      <c r="CI287" s="13"/>
      <c r="CJ287" s="13"/>
    </row>
    <row r="288" spans="1:88" s="9" customFormat="1" x14ac:dyDescent="0.25">
      <c r="A288" s="10"/>
      <c r="B288" s="10"/>
      <c r="C288" s="10"/>
      <c r="D288" s="10"/>
      <c r="E288" s="11"/>
      <c r="F288" s="10"/>
      <c r="G288" s="10"/>
      <c r="H288" s="10"/>
      <c r="I288" s="10"/>
      <c r="J288" s="10"/>
      <c r="K288" s="12"/>
      <c r="L288" s="10"/>
      <c r="M288" s="10"/>
      <c r="N288" s="13"/>
      <c r="O288" s="10"/>
      <c r="P288" s="10"/>
      <c r="Q288" s="10"/>
      <c r="R288" s="18"/>
      <c r="S288" s="10"/>
      <c r="T288" s="10"/>
      <c r="U288" s="13"/>
      <c r="V288" s="13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3"/>
      <c r="AL288" s="14"/>
      <c r="AM288" s="15"/>
      <c r="AN288" s="15"/>
      <c r="AO288" s="13"/>
      <c r="AP288" s="13"/>
      <c r="AQ288" s="16"/>
      <c r="AR288" s="10"/>
      <c r="AS288" s="10"/>
      <c r="AT288" s="10"/>
      <c r="AU288" s="10"/>
      <c r="AV288" s="11"/>
      <c r="AW288" s="11"/>
      <c r="AX288" s="10"/>
      <c r="AY288" s="11"/>
      <c r="AZ288" s="11"/>
      <c r="BA288" s="11"/>
      <c r="BB288" s="10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  <c r="BN288" s="11"/>
      <c r="BO288" s="11"/>
      <c r="BP288" s="11"/>
      <c r="BQ288" s="11"/>
      <c r="BR288" s="11"/>
      <c r="BS288" s="11"/>
      <c r="BT288" s="11"/>
      <c r="BU288" s="11"/>
      <c r="BV288" s="11"/>
      <c r="BW288" s="11"/>
      <c r="BX288" s="11"/>
      <c r="BY288" s="11"/>
      <c r="BZ288" s="11"/>
      <c r="CA288" s="11"/>
      <c r="CB288" s="11"/>
      <c r="CC288" s="17"/>
      <c r="CD288" s="17"/>
      <c r="CE288" s="11"/>
      <c r="CF288" s="13"/>
      <c r="CG288" s="13"/>
      <c r="CH288" s="13"/>
      <c r="CI288" s="13"/>
      <c r="CJ288" s="13"/>
    </row>
    <row r="289" spans="1:88" s="9" customFormat="1" x14ac:dyDescent="0.25">
      <c r="A289" s="10"/>
      <c r="B289" s="10"/>
      <c r="C289" s="10"/>
      <c r="D289" s="10"/>
      <c r="E289" s="11"/>
      <c r="F289" s="10"/>
      <c r="G289" s="10"/>
      <c r="H289" s="10"/>
      <c r="I289" s="10"/>
      <c r="J289" s="10"/>
      <c r="K289" s="12"/>
      <c r="L289" s="10"/>
      <c r="M289" s="10"/>
      <c r="N289" s="13"/>
      <c r="O289" s="10"/>
      <c r="P289" s="10"/>
      <c r="Q289" s="10"/>
      <c r="R289" s="18"/>
      <c r="S289" s="10"/>
      <c r="T289" s="10"/>
      <c r="U289" s="13"/>
      <c r="V289" s="13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3"/>
      <c r="AL289" s="14"/>
      <c r="AM289" s="15"/>
      <c r="AN289" s="15"/>
      <c r="AO289" s="13"/>
      <c r="AP289" s="13"/>
      <c r="AQ289" s="16"/>
      <c r="AR289" s="10"/>
      <c r="AS289" s="10"/>
      <c r="AT289" s="10"/>
      <c r="AU289" s="10"/>
      <c r="AV289" s="11"/>
      <c r="AW289" s="11"/>
      <c r="AX289" s="10"/>
      <c r="AY289" s="11"/>
      <c r="AZ289" s="11"/>
      <c r="BA289" s="11"/>
      <c r="BB289" s="10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/>
      <c r="BN289" s="11"/>
      <c r="BO289" s="11"/>
      <c r="BP289" s="11"/>
      <c r="BQ289" s="11"/>
      <c r="BR289" s="11"/>
      <c r="BS289" s="11"/>
      <c r="BT289" s="11"/>
      <c r="BU289" s="11"/>
      <c r="BV289" s="11"/>
      <c r="BW289" s="11"/>
      <c r="BX289" s="11"/>
      <c r="BY289" s="11"/>
      <c r="BZ289" s="11"/>
      <c r="CA289" s="11"/>
      <c r="CB289" s="11"/>
      <c r="CC289" s="17"/>
      <c r="CD289" s="17"/>
      <c r="CE289" s="11"/>
      <c r="CF289" s="13"/>
      <c r="CG289" s="13"/>
      <c r="CH289" s="13"/>
      <c r="CI289" s="13"/>
      <c r="CJ289" s="13"/>
    </row>
    <row r="290" spans="1:88" s="9" customFormat="1" x14ac:dyDescent="0.25">
      <c r="A290" s="10"/>
      <c r="B290" s="10"/>
      <c r="C290" s="10"/>
      <c r="D290" s="10"/>
      <c r="E290" s="11"/>
      <c r="F290" s="10"/>
      <c r="G290" s="10"/>
      <c r="H290" s="10"/>
      <c r="I290" s="10"/>
      <c r="J290" s="10"/>
      <c r="K290" s="12"/>
      <c r="L290" s="10"/>
      <c r="M290" s="10"/>
      <c r="N290" s="13"/>
      <c r="O290" s="10"/>
      <c r="P290" s="10"/>
      <c r="Q290" s="10"/>
      <c r="R290" s="18"/>
      <c r="S290" s="10"/>
      <c r="T290" s="10"/>
      <c r="U290" s="13"/>
      <c r="V290" s="13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3"/>
      <c r="AL290" s="14"/>
      <c r="AM290" s="15"/>
      <c r="AN290" s="15"/>
      <c r="AO290" s="13"/>
      <c r="AP290" s="13"/>
      <c r="AQ290" s="16"/>
      <c r="AR290" s="10"/>
      <c r="AS290" s="10"/>
      <c r="AT290" s="10"/>
      <c r="AU290" s="10"/>
      <c r="AV290" s="11"/>
      <c r="AW290" s="11"/>
      <c r="AX290" s="10"/>
      <c r="AY290" s="11"/>
      <c r="AZ290" s="11"/>
      <c r="BA290" s="11"/>
      <c r="BB290" s="10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  <c r="BN290" s="11"/>
      <c r="BO290" s="11"/>
      <c r="BP290" s="11"/>
      <c r="BQ290" s="11"/>
      <c r="BR290" s="11"/>
      <c r="BS290" s="11"/>
      <c r="BT290" s="11"/>
      <c r="BU290" s="11"/>
      <c r="BV290" s="11"/>
      <c r="BW290" s="11"/>
      <c r="BX290" s="11"/>
      <c r="BY290" s="11"/>
      <c r="BZ290" s="11"/>
      <c r="CA290" s="11"/>
      <c r="CB290" s="11"/>
      <c r="CC290" s="17"/>
      <c r="CD290" s="17"/>
      <c r="CE290" s="11"/>
      <c r="CF290" s="13"/>
      <c r="CG290" s="13"/>
      <c r="CH290" s="13"/>
      <c r="CI290" s="13"/>
      <c r="CJ290" s="13"/>
    </row>
    <row r="291" spans="1:88" s="9" customFormat="1" x14ac:dyDescent="0.25">
      <c r="A291" s="10"/>
      <c r="B291" s="10"/>
      <c r="C291" s="10"/>
      <c r="D291" s="10"/>
      <c r="E291" s="11"/>
      <c r="F291" s="10"/>
      <c r="G291" s="10"/>
      <c r="H291" s="10"/>
      <c r="I291" s="10"/>
      <c r="J291" s="10"/>
      <c r="K291" s="12"/>
      <c r="L291" s="10"/>
      <c r="M291" s="10"/>
      <c r="N291" s="13"/>
      <c r="O291" s="10"/>
      <c r="P291" s="10"/>
      <c r="Q291" s="10"/>
      <c r="R291" s="18"/>
      <c r="S291" s="10"/>
      <c r="T291" s="10"/>
      <c r="U291" s="13"/>
      <c r="V291" s="13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3"/>
      <c r="AL291" s="14"/>
      <c r="AM291" s="15"/>
      <c r="AN291" s="15"/>
      <c r="AO291" s="13"/>
      <c r="AP291" s="13"/>
      <c r="AQ291" s="16"/>
      <c r="AR291" s="10"/>
      <c r="AS291" s="10"/>
      <c r="AT291" s="10"/>
      <c r="AU291" s="10"/>
      <c r="AV291" s="11"/>
      <c r="AW291" s="11"/>
      <c r="AX291" s="10"/>
      <c r="AY291" s="11"/>
      <c r="AZ291" s="11"/>
      <c r="BA291" s="11"/>
      <c r="BB291" s="10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  <c r="BN291" s="11"/>
      <c r="BO291" s="11"/>
      <c r="BP291" s="11"/>
      <c r="BQ291" s="11"/>
      <c r="BR291" s="11"/>
      <c r="BS291" s="11"/>
      <c r="BT291" s="11"/>
      <c r="BU291" s="11"/>
      <c r="BV291" s="11"/>
      <c r="BW291" s="11"/>
      <c r="BX291" s="11"/>
      <c r="BY291" s="11"/>
      <c r="BZ291" s="11"/>
      <c r="CA291" s="11"/>
      <c r="CB291" s="11"/>
      <c r="CC291" s="17"/>
      <c r="CD291" s="17"/>
      <c r="CE291" s="11"/>
      <c r="CF291" s="13"/>
      <c r="CG291" s="13"/>
      <c r="CH291" s="13"/>
      <c r="CI291" s="13"/>
      <c r="CJ291" s="13"/>
    </row>
    <row r="292" spans="1:88" s="9" customFormat="1" x14ac:dyDescent="0.25">
      <c r="A292" s="10"/>
      <c r="B292" s="10"/>
      <c r="C292" s="10"/>
      <c r="D292" s="10"/>
      <c r="E292" s="11"/>
      <c r="F292" s="10"/>
      <c r="G292" s="10"/>
      <c r="H292" s="10"/>
      <c r="I292" s="10"/>
      <c r="J292" s="10"/>
      <c r="K292" s="12"/>
      <c r="L292" s="10"/>
      <c r="M292" s="10"/>
      <c r="N292" s="13"/>
      <c r="O292" s="10"/>
      <c r="P292" s="10"/>
      <c r="Q292" s="10"/>
      <c r="R292" s="18"/>
      <c r="S292" s="10"/>
      <c r="T292" s="10"/>
      <c r="U292" s="13"/>
      <c r="V292" s="13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3"/>
      <c r="AL292" s="14"/>
      <c r="AM292" s="15"/>
      <c r="AN292" s="15"/>
      <c r="AO292" s="13"/>
      <c r="AP292" s="13"/>
      <c r="AQ292" s="16"/>
      <c r="AR292" s="10"/>
      <c r="AS292" s="10"/>
      <c r="AT292" s="10"/>
      <c r="AU292" s="10"/>
      <c r="AV292" s="11"/>
      <c r="AW292" s="11"/>
      <c r="AX292" s="10"/>
      <c r="AY292" s="11"/>
      <c r="AZ292" s="11"/>
      <c r="BA292" s="11"/>
      <c r="BB292" s="10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  <c r="BN292" s="11"/>
      <c r="BO292" s="11"/>
      <c r="BP292" s="11"/>
      <c r="BQ292" s="11"/>
      <c r="BR292" s="11"/>
      <c r="BS292" s="11"/>
      <c r="BT292" s="11"/>
      <c r="BU292" s="11"/>
      <c r="BV292" s="11"/>
      <c r="BW292" s="11"/>
      <c r="BX292" s="11"/>
      <c r="BY292" s="11"/>
      <c r="BZ292" s="11"/>
      <c r="CA292" s="11"/>
      <c r="CB292" s="11"/>
      <c r="CC292" s="17"/>
      <c r="CD292" s="17"/>
      <c r="CE292" s="11"/>
      <c r="CF292" s="13"/>
      <c r="CG292" s="13"/>
      <c r="CH292" s="13"/>
      <c r="CI292" s="13"/>
      <c r="CJ292" s="13"/>
    </row>
    <row r="293" spans="1:88" s="9" customFormat="1" x14ac:dyDescent="0.25">
      <c r="A293" s="10"/>
      <c r="B293" s="10"/>
      <c r="C293" s="10"/>
      <c r="D293" s="10"/>
      <c r="E293" s="11"/>
      <c r="F293" s="10"/>
      <c r="G293" s="10"/>
      <c r="H293" s="10"/>
      <c r="I293" s="10"/>
      <c r="J293" s="10"/>
      <c r="K293" s="12"/>
      <c r="L293" s="10"/>
      <c r="M293" s="10"/>
      <c r="N293" s="13"/>
      <c r="O293" s="10"/>
      <c r="P293" s="10"/>
      <c r="Q293" s="10"/>
      <c r="R293" s="18"/>
      <c r="S293" s="10"/>
      <c r="T293" s="10"/>
      <c r="U293" s="13"/>
      <c r="V293" s="13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3"/>
      <c r="AL293" s="14"/>
      <c r="AM293" s="15"/>
      <c r="AN293" s="15"/>
      <c r="AO293" s="13"/>
      <c r="AP293" s="13"/>
      <c r="AQ293" s="16"/>
      <c r="AR293" s="10"/>
      <c r="AS293" s="10"/>
      <c r="AT293" s="10"/>
      <c r="AU293" s="10"/>
      <c r="AV293" s="11"/>
      <c r="AW293" s="11"/>
      <c r="AX293" s="10"/>
      <c r="AY293" s="11"/>
      <c r="AZ293" s="11"/>
      <c r="BA293" s="11"/>
      <c r="BB293" s="10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  <c r="BP293" s="11"/>
      <c r="BQ293" s="11"/>
      <c r="BR293" s="11"/>
      <c r="BS293" s="11"/>
      <c r="BT293" s="11"/>
      <c r="BU293" s="11"/>
      <c r="BV293" s="11"/>
      <c r="BW293" s="11"/>
      <c r="BX293" s="11"/>
      <c r="BY293" s="11"/>
      <c r="BZ293" s="11"/>
      <c r="CA293" s="11"/>
      <c r="CB293" s="11"/>
      <c r="CC293" s="17"/>
      <c r="CD293" s="17"/>
      <c r="CE293" s="11"/>
      <c r="CF293" s="13"/>
      <c r="CG293" s="13"/>
      <c r="CH293" s="13"/>
      <c r="CI293" s="13"/>
      <c r="CJ293" s="13"/>
    </row>
    <row r="294" spans="1:88" s="9" customFormat="1" x14ac:dyDescent="0.25">
      <c r="A294" s="10"/>
      <c r="B294" s="10"/>
      <c r="C294" s="10"/>
      <c r="D294" s="10"/>
      <c r="E294" s="11"/>
      <c r="F294" s="10"/>
      <c r="G294" s="10"/>
      <c r="H294" s="10"/>
      <c r="I294" s="10"/>
      <c r="J294" s="10"/>
      <c r="K294" s="12"/>
      <c r="L294" s="10"/>
      <c r="M294" s="10"/>
      <c r="N294" s="13"/>
      <c r="O294" s="10"/>
      <c r="P294" s="10"/>
      <c r="Q294" s="10"/>
      <c r="R294" s="18"/>
      <c r="S294" s="10"/>
      <c r="T294" s="10"/>
      <c r="U294" s="13"/>
      <c r="V294" s="13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3"/>
      <c r="AL294" s="14"/>
      <c r="AM294" s="15"/>
      <c r="AN294" s="15"/>
      <c r="AO294" s="13"/>
      <c r="AP294" s="13"/>
      <c r="AQ294" s="16"/>
      <c r="AR294" s="10"/>
      <c r="AS294" s="10"/>
      <c r="AT294" s="10"/>
      <c r="AU294" s="10"/>
      <c r="AV294" s="11"/>
      <c r="AW294" s="11"/>
      <c r="AX294" s="10"/>
      <c r="AY294" s="11"/>
      <c r="AZ294" s="11"/>
      <c r="BA294" s="11"/>
      <c r="BB294" s="10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  <c r="BO294" s="11"/>
      <c r="BP294" s="11"/>
      <c r="BQ294" s="11"/>
      <c r="BR294" s="11"/>
      <c r="BS294" s="11"/>
      <c r="BT294" s="11"/>
      <c r="BU294" s="11"/>
      <c r="BV294" s="11"/>
      <c r="BW294" s="11"/>
      <c r="BX294" s="11"/>
      <c r="BY294" s="11"/>
      <c r="BZ294" s="11"/>
      <c r="CA294" s="11"/>
      <c r="CB294" s="11"/>
      <c r="CC294" s="17"/>
      <c r="CD294" s="17"/>
      <c r="CE294" s="11"/>
      <c r="CF294" s="13"/>
      <c r="CG294" s="13"/>
      <c r="CH294" s="13"/>
      <c r="CI294" s="13"/>
      <c r="CJ294" s="13"/>
    </row>
    <row r="295" spans="1:88" s="9" customFormat="1" x14ac:dyDescent="0.25">
      <c r="A295" s="10"/>
      <c r="B295" s="10"/>
      <c r="C295" s="10"/>
      <c r="D295" s="10"/>
      <c r="E295" s="11"/>
      <c r="F295" s="10"/>
      <c r="G295" s="10"/>
      <c r="H295" s="10"/>
      <c r="I295" s="10"/>
      <c r="J295" s="10"/>
      <c r="K295" s="12"/>
      <c r="L295" s="10"/>
      <c r="M295" s="10"/>
      <c r="N295" s="13"/>
      <c r="O295" s="10"/>
      <c r="P295" s="10"/>
      <c r="Q295" s="10"/>
      <c r="R295" s="18"/>
      <c r="S295" s="10"/>
      <c r="T295" s="10"/>
      <c r="U295" s="13"/>
      <c r="V295" s="13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3"/>
      <c r="AL295" s="14"/>
      <c r="AM295" s="15"/>
      <c r="AN295" s="15"/>
      <c r="AO295" s="13"/>
      <c r="AP295" s="13"/>
      <c r="AQ295" s="16"/>
      <c r="AR295" s="10"/>
      <c r="AS295" s="10"/>
      <c r="AT295" s="10"/>
      <c r="AU295" s="10"/>
      <c r="AV295" s="11"/>
      <c r="AW295" s="11"/>
      <c r="AX295" s="10"/>
      <c r="AY295" s="11"/>
      <c r="AZ295" s="11"/>
      <c r="BA295" s="11"/>
      <c r="BB295" s="10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O295" s="11"/>
      <c r="BP295" s="11"/>
      <c r="BQ295" s="11"/>
      <c r="BR295" s="11"/>
      <c r="BS295" s="11"/>
      <c r="BT295" s="11"/>
      <c r="BU295" s="11"/>
      <c r="BV295" s="11"/>
      <c r="BW295" s="11"/>
      <c r="BX295" s="11"/>
      <c r="BY295" s="11"/>
      <c r="BZ295" s="11"/>
      <c r="CA295" s="11"/>
      <c r="CB295" s="11"/>
      <c r="CC295" s="17"/>
      <c r="CD295" s="17"/>
      <c r="CE295" s="11"/>
      <c r="CF295" s="13"/>
      <c r="CG295" s="13"/>
      <c r="CH295" s="13"/>
      <c r="CI295" s="13"/>
      <c r="CJ295" s="13"/>
    </row>
    <row r="296" spans="1:88" s="9" customFormat="1" x14ac:dyDescent="0.25">
      <c r="A296" s="10"/>
      <c r="B296" s="10"/>
      <c r="C296" s="10"/>
      <c r="D296" s="10"/>
      <c r="E296" s="11"/>
      <c r="F296" s="10"/>
      <c r="G296" s="10"/>
      <c r="H296" s="10"/>
      <c r="I296" s="10"/>
      <c r="J296" s="10"/>
      <c r="K296" s="12"/>
      <c r="L296" s="10"/>
      <c r="M296" s="10"/>
      <c r="N296" s="13"/>
      <c r="O296" s="10"/>
      <c r="P296" s="10"/>
      <c r="Q296" s="10"/>
      <c r="R296" s="18"/>
      <c r="S296" s="10"/>
      <c r="T296" s="10"/>
      <c r="U296" s="13"/>
      <c r="V296" s="13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3"/>
      <c r="AL296" s="14"/>
      <c r="AM296" s="15"/>
      <c r="AN296" s="15"/>
      <c r="AO296" s="13"/>
      <c r="AP296" s="13"/>
      <c r="AQ296" s="16"/>
      <c r="AR296" s="10"/>
      <c r="AS296" s="10"/>
      <c r="AT296" s="10"/>
      <c r="AU296" s="10"/>
      <c r="AV296" s="11"/>
      <c r="AW296" s="11"/>
      <c r="AX296" s="10"/>
      <c r="AY296" s="11"/>
      <c r="AZ296" s="11"/>
      <c r="BA296" s="11"/>
      <c r="BB296" s="10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  <c r="BM296" s="11"/>
      <c r="BN296" s="11"/>
      <c r="BO296" s="11"/>
      <c r="BP296" s="11"/>
      <c r="BQ296" s="11"/>
      <c r="BR296" s="11"/>
      <c r="BS296" s="11"/>
      <c r="BT296" s="11"/>
      <c r="BU296" s="11"/>
      <c r="BV296" s="11"/>
      <c r="BW296" s="11"/>
      <c r="BX296" s="11"/>
      <c r="BY296" s="11"/>
      <c r="BZ296" s="11"/>
      <c r="CA296" s="11"/>
      <c r="CB296" s="11"/>
      <c r="CC296" s="17"/>
      <c r="CD296" s="17"/>
      <c r="CE296" s="11"/>
      <c r="CF296" s="13"/>
      <c r="CG296" s="13"/>
      <c r="CH296" s="13"/>
      <c r="CI296" s="13"/>
      <c r="CJ296" s="13"/>
    </row>
    <row r="297" spans="1:88" s="9" customFormat="1" x14ac:dyDescent="0.25">
      <c r="A297" s="10"/>
      <c r="B297" s="10"/>
      <c r="C297" s="10"/>
      <c r="D297" s="10"/>
      <c r="E297" s="11"/>
      <c r="F297" s="10"/>
      <c r="G297" s="10"/>
      <c r="H297" s="10"/>
      <c r="I297" s="10"/>
      <c r="J297" s="10"/>
      <c r="K297" s="12"/>
      <c r="L297" s="10"/>
      <c r="M297" s="10"/>
      <c r="N297" s="13"/>
      <c r="O297" s="10"/>
      <c r="P297" s="10"/>
      <c r="Q297" s="10"/>
      <c r="R297" s="18"/>
      <c r="S297" s="10"/>
      <c r="T297" s="10"/>
      <c r="U297" s="13"/>
      <c r="V297" s="13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3"/>
      <c r="AL297" s="14"/>
      <c r="AM297" s="15"/>
      <c r="AN297" s="15"/>
      <c r="AO297" s="13"/>
      <c r="AP297" s="13"/>
      <c r="AQ297" s="16"/>
      <c r="AR297" s="10"/>
      <c r="AS297" s="10"/>
      <c r="AT297" s="10"/>
      <c r="AU297" s="10"/>
      <c r="AV297" s="11"/>
      <c r="AW297" s="11"/>
      <c r="AX297" s="10"/>
      <c r="AY297" s="11"/>
      <c r="AZ297" s="11"/>
      <c r="BA297" s="11"/>
      <c r="BB297" s="10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  <c r="BN297" s="11"/>
      <c r="BO297" s="11"/>
      <c r="BP297" s="11"/>
      <c r="BQ297" s="11"/>
      <c r="BR297" s="11"/>
      <c r="BS297" s="11"/>
      <c r="BT297" s="11"/>
      <c r="BU297" s="11"/>
      <c r="BV297" s="11"/>
      <c r="BW297" s="11"/>
      <c r="BX297" s="11"/>
      <c r="BY297" s="11"/>
      <c r="BZ297" s="11"/>
      <c r="CA297" s="11"/>
      <c r="CB297" s="11"/>
      <c r="CC297" s="17"/>
      <c r="CD297" s="17"/>
      <c r="CE297" s="11"/>
      <c r="CF297" s="13"/>
      <c r="CG297" s="13"/>
      <c r="CH297" s="13"/>
      <c r="CI297" s="13"/>
      <c r="CJ297" s="13"/>
    </row>
    <row r="298" spans="1:88" s="9" customFormat="1" x14ac:dyDescent="0.25">
      <c r="A298" s="10"/>
      <c r="B298" s="10"/>
      <c r="C298" s="10"/>
      <c r="D298" s="10"/>
      <c r="E298" s="11"/>
      <c r="F298" s="10"/>
      <c r="G298" s="10"/>
      <c r="H298" s="10"/>
      <c r="I298" s="10"/>
      <c r="J298" s="10"/>
      <c r="K298" s="12"/>
      <c r="L298" s="10"/>
      <c r="M298" s="10"/>
      <c r="N298" s="13"/>
      <c r="O298" s="10"/>
      <c r="P298" s="10"/>
      <c r="Q298" s="10"/>
      <c r="R298" s="18"/>
      <c r="S298" s="10"/>
      <c r="T298" s="10"/>
      <c r="U298" s="13"/>
      <c r="V298" s="13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3"/>
      <c r="AL298" s="14"/>
      <c r="AM298" s="15"/>
      <c r="AN298" s="15"/>
      <c r="AO298" s="13"/>
      <c r="AP298" s="13"/>
      <c r="AQ298" s="16"/>
      <c r="AR298" s="10"/>
      <c r="AS298" s="10"/>
      <c r="AT298" s="10"/>
      <c r="AU298" s="10"/>
      <c r="AV298" s="11"/>
      <c r="AW298" s="11"/>
      <c r="AX298" s="10"/>
      <c r="AY298" s="11"/>
      <c r="AZ298" s="11"/>
      <c r="BA298" s="11"/>
      <c r="BB298" s="10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  <c r="BO298" s="11"/>
      <c r="BP298" s="11"/>
      <c r="BQ298" s="11"/>
      <c r="BR298" s="11"/>
      <c r="BS298" s="11"/>
      <c r="BT298" s="11"/>
      <c r="BU298" s="11"/>
      <c r="BV298" s="11"/>
      <c r="BW298" s="11"/>
      <c r="BX298" s="11"/>
      <c r="BY298" s="11"/>
      <c r="BZ298" s="11"/>
      <c r="CA298" s="11"/>
      <c r="CB298" s="11"/>
      <c r="CC298" s="17"/>
      <c r="CD298" s="17"/>
      <c r="CE298" s="11"/>
      <c r="CF298" s="13"/>
      <c r="CG298" s="13"/>
      <c r="CH298" s="13"/>
      <c r="CI298" s="13"/>
      <c r="CJ298" s="13"/>
    </row>
    <row r="299" spans="1:88" s="9" customFormat="1" x14ac:dyDescent="0.25">
      <c r="A299" s="10"/>
      <c r="B299" s="10"/>
      <c r="C299" s="10"/>
      <c r="D299" s="10"/>
      <c r="E299" s="11"/>
      <c r="F299" s="10"/>
      <c r="G299" s="10"/>
      <c r="H299" s="10"/>
      <c r="I299" s="10"/>
      <c r="J299" s="10"/>
      <c r="K299" s="12"/>
      <c r="L299" s="10"/>
      <c r="M299" s="10"/>
      <c r="N299" s="13"/>
      <c r="O299" s="10"/>
      <c r="P299" s="10"/>
      <c r="Q299" s="10"/>
      <c r="R299" s="18"/>
      <c r="S299" s="10"/>
      <c r="T299" s="10"/>
      <c r="U299" s="13"/>
      <c r="V299" s="13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3"/>
      <c r="AL299" s="14"/>
      <c r="AM299" s="15"/>
      <c r="AN299" s="15"/>
      <c r="AO299" s="13"/>
      <c r="AP299" s="13"/>
      <c r="AQ299" s="16"/>
      <c r="AR299" s="10"/>
      <c r="AS299" s="10"/>
      <c r="AT299" s="10"/>
      <c r="AU299" s="10"/>
      <c r="AV299" s="11"/>
      <c r="AW299" s="11"/>
      <c r="AX299" s="10"/>
      <c r="AY299" s="11"/>
      <c r="AZ299" s="11"/>
      <c r="BA299" s="11"/>
      <c r="BB299" s="10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  <c r="BN299" s="11"/>
      <c r="BO299" s="11"/>
      <c r="BP299" s="11"/>
      <c r="BQ299" s="11"/>
      <c r="BR299" s="11"/>
      <c r="BS299" s="11"/>
      <c r="BT299" s="11"/>
      <c r="BU299" s="11"/>
      <c r="BV299" s="11"/>
      <c r="BW299" s="11"/>
      <c r="BX299" s="11"/>
      <c r="BY299" s="11"/>
      <c r="BZ299" s="11"/>
      <c r="CA299" s="11"/>
      <c r="CB299" s="11"/>
      <c r="CC299" s="17"/>
      <c r="CD299" s="17"/>
      <c r="CE299" s="11"/>
      <c r="CF299" s="13"/>
      <c r="CG299" s="13"/>
      <c r="CH299" s="13"/>
      <c r="CI299" s="13"/>
      <c r="CJ299" s="13"/>
    </row>
    <row r="300" spans="1:88" s="9" customFormat="1" x14ac:dyDescent="0.25">
      <c r="A300" s="10"/>
      <c r="B300" s="10"/>
      <c r="C300" s="10"/>
      <c r="D300" s="10"/>
      <c r="E300" s="11"/>
      <c r="F300" s="10"/>
      <c r="G300" s="10"/>
      <c r="H300" s="10"/>
      <c r="I300" s="10"/>
      <c r="J300" s="10"/>
      <c r="K300" s="12"/>
      <c r="L300" s="10"/>
      <c r="M300" s="10"/>
      <c r="N300" s="13"/>
      <c r="O300" s="10"/>
      <c r="P300" s="10"/>
      <c r="Q300" s="10"/>
      <c r="R300" s="18"/>
      <c r="S300" s="10"/>
      <c r="T300" s="10"/>
      <c r="U300" s="13"/>
      <c r="V300" s="13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3"/>
      <c r="AL300" s="14"/>
      <c r="AM300" s="15"/>
      <c r="AN300" s="15"/>
      <c r="AO300" s="13"/>
      <c r="AP300" s="13"/>
      <c r="AQ300" s="16"/>
      <c r="AR300" s="10"/>
      <c r="AS300" s="10"/>
      <c r="AT300" s="10"/>
      <c r="AU300" s="10"/>
      <c r="AV300" s="11"/>
      <c r="AW300" s="11"/>
      <c r="AX300" s="10"/>
      <c r="AY300" s="11"/>
      <c r="AZ300" s="11"/>
      <c r="BA300" s="11"/>
      <c r="BB300" s="10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  <c r="BN300" s="11"/>
      <c r="BO300" s="11"/>
      <c r="BP300" s="11"/>
      <c r="BQ300" s="11"/>
      <c r="BR300" s="11"/>
      <c r="BS300" s="11"/>
      <c r="BT300" s="11"/>
      <c r="BU300" s="11"/>
      <c r="BV300" s="11"/>
      <c r="BW300" s="11"/>
      <c r="BX300" s="11"/>
      <c r="BY300" s="11"/>
      <c r="BZ300" s="11"/>
      <c r="CA300" s="11"/>
      <c r="CB300" s="11"/>
      <c r="CC300" s="17"/>
      <c r="CD300" s="17"/>
      <c r="CE300" s="11"/>
      <c r="CF300" s="13"/>
      <c r="CG300" s="13"/>
      <c r="CH300" s="13"/>
      <c r="CI300" s="13"/>
      <c r="CJ300" s="13"/>
    </row>
    <row r="301" spans="1:88" s="9" customFormat="1" x14ac:dyDescent="0.25">
      <c r="A301" s="10"/>
      <c r="B301" s="10"/>
      <c r="C301" s="10"/>
      <c r="D301" s="10"/>
      <c r="E301" s="11"/>
      <c r="F301" s="10"/>
      <c r="G301" s="10"/>
      <c r="H301" s="10"/>
      <c r="I301" s="10"/>
      <c r="J301" s="10"/>
      <c r="K301" s="12"/>
      <c r="L301" s="10"/>
      <c r="M301" s="10"/>
      <c r="N301" s="13"/>
      <c r="O301" s="10"/>
      <c r="P301" s="10"/>
      <c r="Q301" s="10"/>
      <c r="R301" s="18"/>
      <c r="S301" s="10"/>
      <c r="T301" s="10"/>
      <c r="U301" s="13"/>
      <c r="V301" s="13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3"/>
      <c r="AL301" s="14"/>
      <c r="AM301" s="15"/>
      <c r="AN301" s="15"/>
      <c r="AO301" s="13"/>
      <c r="AP301" s="13"/>
      <c r="AQ301" s="16"/>
      <c r="AR301" s="10"/>
      <c r="AS301" s="10"/>
      <c r="AT301" s="10"/>
      <c r="AU301" s="10"/>
      <c r="AV301" s="11"/>
      <c r="AW301" s="11"/>
      <c r="AX301" s="10"/>
      <c r="AY301" s="11"/>
      <c r="AZ301" s="11"/>
      <c r="BA301" s="11"/>
      <c r="BB301" s="10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11"/>
      <c r="BQ301" s="11"/>
      <c r="BR301" s="11"/>
      <c r="BS301" s="11"/>
      <c r="BT301" s="11"/>
      <c r="BU301" s="11"/>
      <c r="BV301" s="11"/>
      <c r="BW301" s="11"/>
      <c r="BX301" s="11"/>
      <c r="BY301" s="11"/>
      <c r="BZ301" s="11"/>
      <c r="CA301" s="11"/>
      <c r="CB301" s="11"/>
      <c r="CC301" s="17"/>
      <c r="CD301" s="17"/>
      <c r="CE301" s="11"/>
      <c r="CF301" s="13"/>
      <c r="CG301" s="13"/>
      <c r="CH301" s="13"/>
      <c r="CI301" s="13"/>
      <c r="CJ301" s="13"/>
    </row>
    <row r="302" spans="1:88" s="9" customFormat="1" x14ac:dyDescent="0.25">
      <c r="A302" s="10"/>
      <c r="B302" s="10"/>
      <c r="C302" s="10"/>
      <c r="D302" s="10"/>
      <c r="E302" s="11"/>
      <c r="F302" s="10"/>
      <c r="G302" s="10"/>
      <c r="H302" s="10"/>
      <c r="I302" s="10"/>
      <c r="J302" s="10"/>
      <c r="K302" s="12"/>
      <c r="L302" s="10"/>
      <c r="M302" s="10"/>
      <c r="N302" s="13"/>
      <c r="O302" s="10"/>
      <c r="P302" s="10"/>
      <c r="Q302" s="10"/>
      <c r="R302" s="18"/>
      <c r="S302" s="10"/>
      <c r="T302" s="10"/>
      <c r="U302" s="13"/>
      <c r="V302" s="13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3"/>
      <c r="AL302" s="14"/>
      <c r="AM302" s="15"/>
      <c r="AN302" s="15"/>
      <c r="AO302" s="13"/>
      <c r="AP302" s="13"/>
      <c r="AQ302" s="16"/>
      <c r="AR302" s="10"/>
      <c r="AS302" s="10"/>
      <c r="AT302" s="10"/>
      <c r="AU302" s="10"/>
      <c r="AV302" s="11"/>
      <c r="AW302" s="11"/>
      <c r="AX302" s="10"/>
      <c r="AY302" s="11"/>
      <c r="AZ302" s="11"/>
      <c r="BA302" s="11"/>
      <c r="BB302" s="10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  <c r="BO302" s="11"/>
      <c r="BP302" s="11"/>
      <c r="BQ302" s="11"/>
      <c r="BR302" s="11"/>
      <c r="BS302" s="11"/>
      <c r="BT302" s="11"/>
      <c r="BU302" s="11"/>
      <c r="BV302" s="11"/>
      <c r="BW302" s="11"/>
      <c r="BX302" s="11"/>
      <c r="BY302" s="11"/>
      <c r="BZ302" s="11"/>
      <c r="CA302" s="11"/>
      <c r="CB302" s="11"/>
      <c r="CC302" s="17"/>
      <c r="CD302" s="17"/>
      <c r="CE302" s="11"/>
      <c r="CF302" s="13"/>
      <c r="CG302" s="13"/>
      <c r="CH302" s="13"/>
      <c r="CI302" s="13"/>
      <c r="CJ302" s="13"/>
    </row>
    <row r="303" spans="1:88" s="9" customFormat="1" x14ac:dyDescent="0.25">
      <c r="A303" s="10"/>
      <c r="B303" s="10"/>
      <c r="C303" s="10"/>
      <c r="D303" s="10"/>
      <c r="E303" s="11"/>
      <c r="F303" s="10"/>
      <c r="G303" s="10"/>
      <c r="H303" s="10"/>
      <c r="I303" s="10"/>
      <c r="J303" s="10"/>
      <c r="K303" s="12"/>
      <c r="L303" s="10"/>
      <c r="M303" s="10"/>
      <c r="N303" s="13"/>
      <c r="O303" s="10"/>
      <c r="P303" s="10"/>
      <c r="Q303" s="10"/>
      <c r="R303" s="18"/>
      <c r="S303" s="10"/>
      <c r="T303" s="10"/>
      <c r="U303" s="13"/>
      <c r="V303" s="13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3"/>
      <c r="AL303" s="14"/>
      <c r="AM303" s="15"/>
      <c r="AN303" s="15"/>
      <c r="AO303" s="13"/>
      <c r="AP303" s="13"/>
      <c r="AQ303" s="16"/>
      <c r="AR303" s="10"/>
      <c r="AS303" s="10"/>
      <c r="AT303" s="10"/>
      <c r="AU303" s="10"/>
      <c r="AV303" s="11"/>
      <c r="AW303" s="11"/>
      <c r="AX303" s="10"/>
      <c r="AY303" s="11"/>
      <c r="AZ303" s="11"/>
      <c r="BA303" s="11"/>
      <c r="BB303" s="10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  <c r="BN303" s="11"/>
      <c r="BO303" s="11"/>
      <c r="BP303" s="11"/>
      <c r="BQ303" s="11"/>
      <c r="BR303" s="11"/>
      <c r="BS303" s="11"/>
      <c r="BT303" s="11"/>
      <c r="BU303" s="11"/>
      <c r="BV303" s="11"/>
      <c r="BW303" s="11"/>
      <c r="BX303" s="11"/>
      <c r="BY303" s="11"/>
      <c r="BZ303" s="11"/>
      <c r="CA303" s="11"/>
      <c r="CB303" s="11"/>
      <c r="CC303" s="17"/>
      <c r="CD303" s="17"/>
      <c r="CE303" s="11"/>
      <c r="CF303" s="13"/>
      <c r="CG303" s="13"/>
      <c r="CH303" s="13"/>
      <c r="CI303" s="13"/>
      <c r="CJ303" s="13"/>
    </row>
    <row r="304" spans="1:88" s="9" customFormat="1" x14ac:dyDescent="0.25">
      <c r="A304" s="10"/>
      <c r="B304" s="10"/>
      <c r="C304" s="10"/>
      <c r="D304" s="10"/>
      <c r="E304" s="11"/>
      <c r="F304" s="10"/>
      <c r="G304" s="10"/>
      <c r="H304" s="10"/>
      <c r="I304" s="10"/>
      <c r="J304" s="10"/>
      <c r="K304" s="12"/>
      <c r="L304" s="10"/>
      <c r="M304" s="10"/>
      <c r="N304" s="13"/>
      <c r="O304" s="10"/>
      <c r="P304" s="10"/>
      <c r="Q304" s="10"/>
      <c r="R304" s="18"/>
      <c r="S304" s="10"/>
      <c r="T304" s="10"/>
      <c r="U304" s="13"/>
      <c r="V304" s="13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3"/>
      <c r="AL304" s="14"/>
      <c r="AM304" s="15"/>
      <c r="AN304" s="15"/>
      <c r="AO304" s="13"/>
      <c r="AP304" s="13"/>
      <c r="AQ304" s="16"/>
      <c r="AR304" s="10"/>
      <c r="AS304" s="10"/>
      <c r="AT304" s="10"/>
      <c r="AU304" s="10"/>
      <c r="AV304" s="11"/>
      <c r="AW304" s="11"/>
      <c r="AX304" s="10"/>
      <c r="AY304" s="11"/>
      <c r="AZ304" s="11"/>
      <c r="BA304" s="11"/>
      <c r="BB304" s="10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  <c r="BN304" s="11"/>
      <c r="BO304" s="11"/>
      <c r="BP304" s="11"/>
      <c r="BQ304" s="11"/>
      <c r="BR304" s="11"/>
      <c r="BS304" s="11"/>
      <c r="BT304" s="11"/>
      <c r="BU304" s="11"/>
      <c r="BV304" s="11"/>
      <c r="BW304" s="11"/>
      <c r="BX304" s="11"/>
      <c r="BY304" s="11"/>
      <c r="BZ304" s="11"/>
      <c r="CA304" s="11"/>
      <c r="CB304" s="11"/>
      <c r="CC304" s="17"/>
      <c r="CD304" s="17"/>
      <c r="CE304" s="11"/>
      <c r="CF304" s="13"/>
      <c r="CG304" s="13"/>
      <c r="CH304" s="13"/>
      <c r="CI304" s="13"/>
      <c r="CJ304" s="13"/>
    </row>
    <row r="305" spans="1:88" s="9" customFormat="1" x14ac:dyDescent="0.25">
      <c r="A305" s="10"/>
      <c r="B305" s="10"/>
      <c r="C305" s="10"/>
      <c r="D305" s="10"/>
      <c r="E305" s="11"/>
      <c r="F305" s="10"/>
      <c r="G305" s="10"/>
      <c r="H305" s="10"/>
      <c r="I305" s="10"/>
      <c r="J305" s="10"/>
      <c r="K305" s="12"/>
      <c r="L305" s="10"/>
      <c r="M305" s="10"/>
      <c r="N305" s="13"/>
      <c r="O305" s="10"/>
      <c r="P305" s="10"/>
      <c r="Q305" s="10"/>
      <c r="R305" s="18"/>
      <c r="S305" s="10"/>
      <c r="T305" s="10"/>
      <c r="U305" s="13"/>
      <c r="V305" s="13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3"/>
      <c r="AL305" s="14"/>
      <c r="AM305" s="15"/>
      <c r="AN305" s="15"/>
      <c r="AO305" s="13"/>
      <c r="AP305" s="13"/>
      <c r="AQ305" s="16"/>
      <c r="AR305" s="10"/>
      <c r="AS305" s="10"/>
      <c r="AT305" s="10"/>
      <c r="AU305" s="10"/>
      <c r="AV305" s="11"/>
      <c r="AW305" s="11"/>
      <c r="AX305" s="10"/>
      <c r="AY305" s="11"/>
      <c r="AZ305" s="11"/>
      <c r="BA305" s="11"/>
      <c r="BB305" s="10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  <c r="BO305" s="11"/>
      <c r="BP305" s="11"/>
      <c r="BQ305" s="11"/>
      <c r="BR305" s="11"/>
      <c r="BS305" s="11"/>
      <c r="BT305" s="11"/>
      <c r="BU305" s="11"/>
      <c r="BV305" s="11"/>
      <c r="BW305" s="11"/>
      <c r="BX305" s="11"/>
      <c r="BY305" s="11"/>
      <c r="BZ305" s="11"/>
      <c r="CA305" s="11"/>
      <c r="CB305" s="11"/>
      <c r="CC305" s="17"/>
      <c r="CD305" s="17"/>
      <c r="CE305" s="11"/>
      <c r="CF305" s="13"/>
      <c r="CG305" s="13"/>
      <c r="CH305" s="13"/>
      <c r="CI305" s="13"/>
      <c r="CJ305" s="13"/>
    </row>
    <row r="306" spans="1:88" s="9" customFormat="1" x14ac:dyDescent="0.25">
      <c r="A306" s="10"/>
      <c r="B306" s="10"/>
      <c r="C306" s="10"/>
      <c r="D306" s="10"/>
      <c r="E306" s="11"/>
      <c r="F306" s="10"/>
      <c r="G306" s="10"/>
      <c r="H306" s="10"/>
      <c r="I306" s="10"/>
      <c r="J306" s="10"/>
      <c r="K306" s="12"/>
      <c r="L306" s="10"/>
      <c r="M306" s="10"/>
      <c r="N306" s="13"/>
      <c r="O306" s="10"/>
      <c r="P306" s="10"/>
      <c r="Q306" s="10"/>
      <c r="R306" s="18"/>
      <c r="S306" s="10"/>
      <c r="T306" s="10"/>
      <c r="U306" s="13"/>
      <c r="V306" s="13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3"/>
      <c r="AL306" s="14"/>
      <c r="AM306" s="15"/>
      <c r="AN306" s="15"/>
      <c r="AO306" s="13"/>
      <c r="AP306" s="13"/>
      <c r="AQ306" s="16"/>
      <c r="AR306" s="10"/>
      <c r="AS306" s="10"/>
      <c r="AT306" s="10"/>
      <c r="AU306" s="10"/>
      <c r="AV306" s="11"/>
      <c r="AW306" s="11"/>
      <c r="AX306" s="10"/>
      <c r="AY306" s="11"/>
      <c r="AZ306" s="11"/>
      <c r="BA306" s="11"/>
      <c r="BB306" s="10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11"/>
      <c r="BQ306" s="11"/>
      <c r="BR306" s="11"/>
      <c r="BS306" s="11"/>
      <c r="BT306" s="11"/>
      <c r="BU306" s="11"/>
      <c r="BV306" s="11"/>
      <c r="BW306" s="11"/>
      <c r="BX306" s="11"/>
      <c r="BY306" s="11"/>
      <c r="BZ306" s="11"/>
      <c r="CA306" s="11"/>
      <c r="CB306" s="11"/>
      <c r="CC306" s="17"/>
      <c r="CD306" s="17"/>
      <c r="CE306" s="11"/>
      <c r="CF306" s="13"/>
      <c r="CG306" s="13"/>
      <c r="CH306" s="13"/>
      <c r="CI306" s="13"/>
      <c r="CJ306" s="13"/>
    </row>
    <row r="307" spans="1:88" s="9" customFormat="1" x14ac:dyDescent="0.25">
      <c r="A307" s="10"/>
      <c r="B307" s="10"/>
      <c r="C307" s="10"/>
      <c r="D307" s="10"/>
      <c r="E307" s="11"/>
      <c r="F307" s="10"/>
      <c r="G307" s="10"/>
      <c r="H307" s="10"/>
      <c r="I307" s="10"/>
      <c r="J307" s="10"/>
      <c r="K307" s="12"/>
      <c r="L307" s="10"/>
      <c r="M307" s="10"/>
      <c r="N307" s="13"/>
      <c r="O307" s="10"/>
      <c r="P307" s="10"/>
      <c r="Q307" s="10"/>
      <c r="R307" s="18"/>
      <c r="S307" s="10"/>
      <c r="T307" s="10"/>
      <c r="U307" s="13"/>
      <c r="V307" s="13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3"/>
      <c r="AL307" s="14"/>
      <c r="AM307" s="15"/>
      <c r="AN307" s="15"/>
      <c r="AO307" s="13"/>
      <c r="AP307" s="13"/>
      <c r="AQ307" s="16"/>
      <c r="AR307" s="10"/>
      <c r="AS307" s="10"/>
      <c r="AT307" s="10"/>
      <c r="AU307" s="10"/>
      <c r="AV307" s="11"/>
      <c r="AW307" s="11"/>
      <c r="AX307" s="10"/>
      <c r="AY307" s="11"/>
      <c r="AZ307" s="11"/>
      <c r="BA307" s="11"/>
      <c r="BB307" s="10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  <c r="BQ307" s="11"/>
      <c r="BR307" s="11"/>
      <c r="BS307" s="11"/>
      <c r="BT307" s="11"/>
      <c r="BU307" s="11"/>
      <c r="BV307" s="11"/>
      <c r="BW307" s="11"/>
      <c r="BX307" s="11"/>
      <c r="BY307" s="11"/>
      <c r="BZ307" s="11"/>
      <c r="CA307" s="11"/>
      <c r="CB307" s="11"/>
      <c r="CC307" s="17"/>
      <c r="CD307" s="17"/>
      <c r="CE307" s="11"/>
      <c r="CF307" s="13"/>
      <c r="CG307" s="13"/>
      <c r="CH307" s="13"/>
      <c r="CI307" s="13"/>
      <c r="CJ307" s="13"/>
    </row>
    <row r="308" spans="1:88" s="9" customFormat="1" x14ac:dyDescent="0.25">
      <c r="A308" s="10"/>
      <c r="B308" s="10"/>
      <c r="C308" s="10"/>
      <c r="D308" s="10"/>
      <c r="E308" s="11"/>
      <c r="F308" s="10"/>
      <c r="G308" s="10"/>
      <c r="H308" s="10"/>
      <c r="I308" s="10"/>
      <c r="J308" s="10"/>
      <c r="K308" s="12"/>
      <c r="L308" s="10"/>
      <c r="M308" s="10"/>
      <c r="N308" s="13"/>
      <c r="O308" s="10"/>
      <c r="P308" s="10"/>
      <c r="Q308" s="10"/>
      <c r="R308" s="18"/>
      <c r="S308" s="10"/>
      <c r="T308" s="10"/>
      <c r="U308" s="13"/>
      <c r="V308" s="13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3"/>
      <c r="AL308" s="14"/>
      <c r="AM308" s="15"/>
      <c r="AN308" s="15"/>
      <c r="AO308" s="13"/>
      <c r="AP308" s="13"/>
      <c r="AQ308" s="16"/>
      <c r="AR308" s="10"/>
      <c r="AS308" s="10"/>
      <c r="AT308" s="10"/>
      <c r="AU308" s="10"/>
      <c r="AV308" s="11"/>
      <c r="AW308" s="11"/>
      <c r="AX308" s="10"/>
      <c r="AY308" s="11"/>
      <c r="AZ308" s="11"/>
      <c r="BA308" s="11"/>
      <c r="BB308" s="10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  <c r="BN308" s="11"/>
      <c r="BO308" s="11"/>
      <c r="BP308" s="11"/>
      <c r="BQ308" s="11"/>
      <c r="BR308" s="11"/>
      <c r="BS308" s="11"/>
      <c r="BT308" s="11"/>
      <c r="BU308" s="11"/>
      <c r="BV308" s="11"/>
      <c r="BW308" s="11"/>
      <c r="BX308" s="11"/>
      <c r="BY308" s="11"/>
      <c r="BZ308" s="11"/>
      <c r="CA308" s="11"/>
      <c r="CB308" s="11"/>
      <c r="CC308" s="17"/>
      <c r="CD308" s="17"/>
      <c r="CE308" s="11"/>
      <c r="CF308" s="13"/>
      <c r="CG308" s="13"/>
      <c r="CH308" s="13"/>
      <c r="CI308" s="13"/>
      <c r="CJ308" s="13"/>
    </row>
    <row r="309" spans="1:88" s="9" customFormat="1" x14ac:dyDescent="0.25">
      <c r="A309" s="10"/>
      <c r="B309" s="10"/>
      <c r="C309" s="10"/>
      <c r="D309" s="10"/>
      <c r="E309" s="11"/>
      <c r="F309" s="10"/>
      <c r="G309" s="10"/>
      <c r="H309" s="10"/>
      <c r="I309" s="10"/>
      <c r="J309" s="10"/>
      <c r="K309" s="12"/>
      <c r="L309" s="10"/>
      <c r="M309" s="10"/>
      <c r="N309" s="13"/>
      <c r="O309" s="10"/>
      <c r="P309" s="10"/>
      <c r="Q309" s="10"/>
      <c r="R309" s="18"/>
      <c r="S309" s="10"/>
      <c r="T309" s="10"/>
      <c r="U309" s="13"/>
      <c r="V309" s="13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3"/>
      <c r="AL309" s="14"/>
      <c r="AM309" s="15"/>
      <c r="AN309" s="15"/>
      <c r="AO309" s="13"/>
      <c r="AP309" s="13"/>
      <c r="AQ309" s="16"/>
      <c r="AR309" s="10"/>
      <c r="AS309" s="10"/>
      <c r="AT309" s="10"/>
      <c r="AU309" s="10"/>
      <c r="AV309" s="11"/>
      <c r="AW309" s="11"/>
      <c r="AX309" s="10"/>
      <c r="AY309" s="11"/>
      <c r="AZ309" s="11"/>
      <c r="BA309" s="11"/>
      <c r="BB309" s="10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  <c r="BN309" s="11"/>
      <c r="BO309" s="11"/>
      <c r="BP309" s="11"/>
      <c r="BQ309" s="11"/>
      <c r="BR309" s="11"/>
      <c r="BS309" s="11"/>
      <c r="BT309" s="11"/>
      <c r="BU309" s="11"/>
      <c r="BV309" s="11"/>
      <c r="BW309" s="11"/>
      <c r="BX309" s="11"/>
      <c r="BY309" s="11"/>
      <c r="BZ309" s="11"/>
      <c r="CA309" s="11"/>
      <c r="CB309" s="11"/>
      <c r="CC309" s="17"/>
      <c r="CD309" s="17"/>
      <c r="CE309" s="11"/>
      <c r="CF309" s="13"/>
      <c r="CG309" s="13"/>
      <c r="CH309" s="13"/>
      <c r="CI309" s="13"/>
      <c r="CJ309" s="13"/>
    </row>
    <row r="310" spans="1:88" s="9" customFormat="1" x14ac:dyDescent="0.25">
      <c r="A310" s="10"/>
      <c r="B310" s="10"/>
      <c r="C310" s="10"/>
      <c r="D310" s="10"/>
      <c r="E310" s="11"/>
      <c r="F310" s="10"/>
      <c r="G310" s="10"/>
      <c r="H310" s="10"/>
      <c r="I310" s="10"/>
      <c r="J310" s="10"/>
      <c r="K310" s="12"/>
      <c r="L310" s="10"/>
      <c r="M310" s="10"/>
      <c r="N310" s="13"/>
      <c r="O310" s="10"/>
      <c r="P310" s="10"/>
      <c r="Q310" s="10"/>
      <c r="R310" s="18"/>
      <c r="S310" s="10"/>
      <c r="T310" s="10"/>
      <c r="U310" s="13"/>
      <c r="V310" s="13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3"/>
      <c r="AL310" s="14"/>
      <c r="AM310" s="15"/>
      <c r="AN310" s="15"/>
      <c r="AO310" s="13"/>
      <c r="AP310" s="13"/>
      <c r="AQ310" s="16"/>
      <c r="AR310" s="10"/>
      <c r="AS310" s="10"/>
      <c r="AT310" s="10"/>
      <c r="AU310" s="10"/>
      <c r="AV310" s="11"/>
      <c r="AW310" s="11"/>
      <c r="AX310" s="10"/>
      <c r="AY310" s="11"/>
      <c r="AZ310" s="11"/>
      <c r="BA310" s="11"/>
      <c r="BB310" s="10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  <c r="BM310" s="11"/>
      <c r="BN310" s="11"/>
      <c r="BO310" s="11"/>
      <c r="BP310" s="11"/>
      <c r="BQ310" s="11"/>
      <c r="BR310" s="11"/>
      <c r="BS310" s="11"/>
      <c r="BT310" s="11"/>
      <c r="BU310" s="11"/>
      <c r="BV310" s="11"/>
      <c r="BW310" s="11"/>
      <c r="BX310" s="11"/>
      <c r="BY310" s="11"/>
      <c r="BZ310" s="11"/>
      <c r="CA310" s="11"/>
      <c r="CB310" s="11"/>
      <c r="CC310" s="17"/>
      <c r="CD310" s="17"/>
      <c r="CE310" s="11"/>
      <c r="CF310" s="13"/>
      <c r="CG310" s="13"/>
      <c r="CH310" s="13"/>
      <c r="CI310" s="13"/>
      <c r="CJ310" s="13"/>
    </row>
    <row r="311" spans="1:88" s="9" customFormat="1" x14ac:dyDescent="0.25">
      <c r="A311" s="10"/>
      <c r="B311" s="10"/>
      <c r="C311" s="10"/>
      <c r="D311" s="10"/>
      <c r="E311" s="11"/>
      <c r="F311" s="10"/>
      <c r="G311" s="10"/>
      <c r="H311" s="10"/>
      <c r="I311" s="10"/>
      <c r="J311" s="10"/>
      <c r="K311" s="12"/>
      <c r="L311" s="10"/>
      <c r="M311" s="10"/>
      <c r="N311" s="13"/>
      <c r="O311" s="10"/>
      <c r="P311" s="10"/>
      <c r="Q311" s="10"/>
      <c r="R311" s="18"/>
      <c r="S311" s="10"/>
      <c r="T311" s="10"/>
      <c r="U311" s="13"/>
      <c r="V311" s="13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3"/>
      <c r="AL311" s="14"/>
      <c r="AM311" s="15"/>
      <c r="AN311" s="15"/>
      <c r="AO311" s="13"/>
      <c r="AP311" s="13"/>
      <c r="AQ311" s="16"/>
      <c r="AR311" s="10"/>
      <c r="AS311" s="10"/>
      <c r="AT311" s="10"/>
      <c r="AU311" s="10"/>
      <c r="AV311" s="11"/>
      <c r="AW311" s="11"/>
      <c r="AX311" s="10"/>
      <c r="AY311" s="11"/>
      <c r="AZ311" s="11"/>
      <c r="BA311" s="11"/>
      <c r="BB311" s="10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  <c r="BO311" s="11"/>
      <c r="BP311" s="11"/>
      <c r="BQ311" s="11"/>
      <c r="BR311" s="11"/>
      <c r="BS311" s="11"/>
      <c r="BT311" s="11"/>
      <c r="BU311" s="11"/>
      <c r="BV311" s="11"/>
      <c r="BW311" s="11"/>
      <c r="BX311" s="11"/>
      <c r="BY311" s="11"/>
      <c r="BZ311" s="11"/>
      <c r="CA311" s="11"/>
      <c r="CB311" s="11"/>
      <c r="CC311" s="17"/>
      <c r="CD311" s="17"/>
      <c r="CE311" s="11"/>
      <c r="CF311" s="13"/>
      <c r="CG311" s="13"/>
      <c r="CH311" s="13"/>
      <c r="CI311" s="13"/>
      <c r="CJ311" s="13"/>
    </row>
    <row r="312" spans="1:88" s="9" customFormat="1" x14ac:dyDescent="0.25">
      <c r="A312" s="10"/>
      <c r="B312" s="10"/>
      <c r="C312" s="10"/>
      <c r="D312" s="10"/>
      <c r="E312" s="11"/>
      <c r="F312" s="10"/>
      <c r="G312" s="10"/>
      <c r="H312" s="10"/>
      <c r="I312" s="10"/>
      <c r="J312" s="10"/>
      <c r="K312" s="12"/>
      <c r="L312" s="10"/>
      <c r="M312" s="10"/>
      <c r="N312" s="13"/>
      <c r="O312" s="10"/>
      <c r="P312" s="10"/>
      <c r="Q312" s="10"/>
      <c r="R312" s="18"/>
      <c r="S312" s="10"/>
      <c r="T312" s="10"/>
      <c r="U312" s="13"/>
      <c r="V312" s="13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3"/>
      <c r="AL312" s="14"/>
      <c r="AM312" s="15"/>
      <c r="AN312" s="15"/>
      <c r="AO312" s="13"/>
      <c r="AP312" s="13"/>
      <c r="AQ312" s="16"/>
      <c r="AR312" s="10"/>
      <c r="AS312" s="10"/>
      <c r="AT312" s="10"/>
      <c r="AU312" s="10"/>
      <c r="AV312" s="11"/>
      <c r="AW312" s="11"/>
      <c r="AX312" s="10"/>
      <c r="AY312" s="11"/>
      <c r="AZ312" s="11"/>
      <c r="BA312" s="11"/>
      <c r="BB312" s="10"/>
      <c r="BC312" s="11"/>
      <c r="BD312" s="11"/>
      <c r="BE312" s="11"/>
      <c r="BF312" s="11"/>
      <c r="BG312" s="11"/>
      <c r="BH312" s="11"/>
      <c r="BI312" s="11"/>
      <c r="BJ312" s="11"/>
      <c r="BK312" s="11"/>
      <c r="BL312" s="11"/>
      <c r="BM312" s="11"/>
      <c r="BN312" s="11"/>
      <c r="BO312" s="11"/>
      <c r="BP312" s="11"/>
      <c r="BQ312" s="11"/>
      <c r="BR312" s="11"/>
      <c r="BS312" s="11"/>
      <c r="BT312" s="11"/>
      <c r="BU312" s="11"/>
      <c r="BV312" s="11"/>
      <c r="BW312" s="11"/>
      <c r="BX312" s="11"/>
      <c r="BY312" s="11"/>
      <c r="BZ312" s="11"/>
      <c r="CA312" s="11"/>
      <c r="CB312" s="11"/>
      <c r="CC312" s="17"/>
      <c r="CD312" s="17"/>
      <c r="CE312" s="11"/>
      <c r="CF312" s="13"/>
      <c r="CG312" s="13"/>
      <c r="CH312" s="13"/>
      <c r="CI312" s="13"/>
      <c r="CJ312" s="13"/>
    </row>
    <row r="313" spans="1:88" s="9" customFormat="1" x14ac:dyDescent="0.25">
      <c r="A313" s="10"/>
      <c r="B313" s="10"/>
      <c r="C313" s="10"/>
      <c r="D313" s="10"/>
      <c r="E313" s="11"/>
      <c r="F313" s="10"/>
      <c r="G313" s="10"/>
      <c r="H313" s="10"/>
      <c r="I313" s="10"/>
      <c r="J313" s="10"/>
      <c r="K313" s="12"/>
      <c r="L313" s="10"/>
      <c r="M313" s="10"/>
      <c r="N313" s="13"/>
      <c r="O313" s="10"/>
      <c r="P313" s="10"/>
      <c r="Q313" s="10"/>
      <c r="R313" s="18"/>
      <c r="S313" s="10"/>
      <c r="T313" s="10"/>
      <c r="U313" s="13"/>
      <c r="V313" s="13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3"/>
      <c r="AL313" s="14"/>
      <c r="AM313" s="15"/>
      <c r="AN313" s="15"/>
      <c r="AO313" s="13"/>
      <c r="AP313" s="13"/>
      <c r="AQ313" s="16"/>
      <c r="AR313" s="10"/>
      <c r="AS313" s="10"/>
      <c r="AT313" s="10"/>
      <c r="AU313" s="10"/>
      <c r="AV313" s="11"/>
      <c r="AW313" s="11"/>
      <c r="AX313" s="10"/>
      <c r="AY313" s="11"/>
      <c r="AZ313" s="11"/>
      <c r="BA313" s="11"/>
      <c r="BB313" s="10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  <c r="BM313" s="11"/>
      <c r="BN313" s="11"/>
      <c r="BO313" s="11"/>
      <c r="BP313" s="11"/>
      <c r="BQ313" s="11"/>
      <c r="BR313" s="11"/>
      <c r="BS313" s="11"/>
      <c r="BT313" s="11"/>
      <c r="BU313" s="11"/>
      <c r="BV313" s="11"/>
      <c r="BW313" s="11"/>
      <c r="BX313" s="11"/>
      <c r="BY313" s="11"/>
      <c r="BZ313" s="11"/>
      <c r="CA313" s="11"/>
      <c r="CB313" s="11"/>
      <c r="CC313" s="17"/>
      <c r="CD313" s="17"/>
      <c r="CE313" s="11"/>
      <c r="CF313" s="13"/>
      <c r="CG313" s="13"/>
      <c r="CH313" s="13"/>
      <c r="CI313" s="13"/>
      <c r="CJ313" s="13"/>
    </row>
    <row r="314" spans="1:88" s="9" customFormat="1" x14ac:dyDescent="0.25">
      <c r="A314" s="10"/>
      <c r="B314" s="10"/>
      <c r="C314" s="10"/>
      <c r="D314" s="10"/>
      <c r="E314" s="11"/>
      <c r="F314" s="10"/>
      <c r="G314" s="10"/>
      <c r="H314" s="10"/>
      <c r="I314" s="10"/>
      <c r="J314" s="10"/>
      <c r="K314" s="12"/>
      <c r="L314" s="10"/>
      <c r="M314" s="10"/>
      <c r="N314" s="13"/>
      <c r="O314" s="10"/>
      <c r="P314" s="10"/>
      <c r="Q314" s="10"/>
      <c r="R314" s="18"/>
      <c r="S314" s="10"/>
      <c r="T314" s="10"/>
      <c r="U314" s="13"/>
      <c r="V314" s="13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3"/>
      <c r="AL314" s="14"/>
      <c r="AM314" s="15"/>
      <c r="AN314" s="15"/>
      <c r="AO314" s="13"/>
      <c r="AP314" s="13"/>
      <c r="AQ314" s="16"/>
      <c r="AR314" s="10"/>
      <c r="AS314" s="10"/>
      <c r="AT314" s="10"/>
      <c r="AU314" s="10"/>
      <c r="AV314" s="11"/>
      <c r="AW314" s="11"/>
      <c r="AX314" s="10"/>
      <c r="AY314" s="11"/>
      <c r="AZ314" s="11"/>
      <c r="BA314" s="11"/>
      <c r="BB314" s="10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  <c r="BM314" s="11"/>
      <c r="BN314" s="11"/>
      <c r="BO314" s="11"/>
      <c r="BP314" s="11"/>
      <c r="BQ314" s="11"/>
      <c r="BR314" s="11"/>
      <c r="BS314" s="11"/>
      <c r="BT314" s="11"/>
      <c r="BU314" s="11"/>
      <c r="BV314" s="11"/>
      <c r="BW314" s="11"/>
      <c r="BX314" s="11"/>
      <c r="BY314" s="11"/>
      <c r="BZ314" s="11"/>
      <c r="CA314" s="11"/>
      <c r="CB314" s="11"/>
      <c r="CC314" s="17"/>
      <c r="CD314" s="17"/>
      <c r="CE314" s="11"/>
      <c r="CF314" s="13"/>
      <c r="CG314" s="13"/>
      <c r="CH314" s="13"/>
      <c r="CI314" s="13"/>
      <c r="CJ314" s="13"/>
    </row>
    <row r="315" spans="1:88" s="9" customFormat="1" x14ac:dyDescent="0.25">
      <c r="A315" s="10"/>
      <c r="B315" s="10"/>
      <c r="C315" s="10"/>
      <c r="D315" s="10"/>
      <c r="E315" s="11"/>
      <c r="F315" s="10"/>
      <c r="G315" s="10"/>
      <c r="H315" s="10"/>
      <c r="I315" s="10"/>
      <c r="J315" s="10"/>
      <c r="K315" s="12"/>
      <c r="L315" s="10"/>
      <c r="M315" s="10"/>
      <c r="N315" s="13"/>
      <c r="O315" s="10"/>
      <c r="P315" s="10"/>
      <c r="Q315" s="10"/>
      <c r="R315" s="18"/>
      <c r="S315" s="10"/>
      <c r="T315" s="10"/>
      <c r="U315" s="13"/>
      <c r="V315" s="13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3"/>
      <c r="AL315" s="14"/>
      <c r="AM315" s="15"/>
      <c r="AN315" s="15"/>
      <c r="AO315" s="13"/>
      <c r="AP315" s="13"/>
      <c r="AQ315" s="16"/>
      <c r="AR315" s="10"/>
      <c r="AS315" s="10"/>
      <c r="AT315" s="10"/>
      <c r="AU315" s="10"/>
      <c r="AV315" s="11"/>
      <c r="AW315" s="11"/>
      <c r="AX315" s="10"/>
      <c r="AY315" s="11"/>
      <c r="AZ315" s="11"/>
      <c r="BA315" s="11"/>
      <c r="BB315" s="10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  <c r="BN315" s="11"/>
      <c r="BO315" s="11"/>
      <c r="BP315" s="11"/>
      <c r="BQ315" s="11"/>
      <c r="BR315" s="11"/>
      <c r="BS315" s="11"/>
      <c r="BT315" s="11"/>
      <c r="BU315" s="11"/>
      <c r="BV315" s="11"/>
      <c r="BW315" s="11"/>
      <c r="BX315" s="11"/>
      <c r="BY315" s="11"/>
      <c r="BZ315" s="11"/>
      <c r="CA315" s="11"/>
      <c r="CB315" s="11"/>
      <c r="CC315" s="17"/>
      <c r="CD315" s="17"/>
      <c r="CE315" s="11"/>
      <c r="CF315" s="13"/>
      <c r="CG315" s="13"/>
      <c r="CH315" s="13"/>
      <c r="CI315" s="13"/>
      <c r="CJ315" s="13"/>
    </row>
    <row r="316" spans="1:88" s="9" customFormat="1" x14ac:dyDescent="0.25">
      <c r="A316" s="10"/>
      <c r="B316" s="10"/>
      <c r="C316" s="10"/>
      <c r="D316" s="10"/>
      <c r="E316" s="11"/>
      <c r="F316" s="10"/>
      <c r="G316" s="10"/>
      <c r="H316" s="10"/>
      <c r="I316" s="10"/>
      <c r="J316" s="10"/>
      <c r="K316" s="12"/>
      <c r="L316" s="10"/>
      <c r="M316" s="10"/>
      <c r="N316" s="13"/>
      <c r="O316" s="10"/>
      <c r="P316" s="10"/>
      <c r="Q316" s="10"/>
      <c r="R316" s="18"/>
      <c r="S316" s="10"/>
      <c r="T316" s="10"/>
      <c r="U316" s="13"/>
      <c r="V316" s="13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3"/>
      <c r="AL316" s="14"/>
      <c r="AM316" s="15"/>
      <c r="AN316" s="15"/>
      <c r="AO316" s="13"/>
      <c r="AP316" s="13"/>
      <c r="AQ316" s="16"/>
      <c r="AR316" s="10"/>
      <c r="AS316" s="10"/>
      <c r="AT316" s="10"/>
      <c r="AU316" s="10"/>
      <c r="AV316" s="11"/>
      <c r="AW316" s="11"/>
      <c r="AX316" s="10"/>
      <c r="AY316" s="11"/>
      <c r="AZ316" s="11"/>
      <c r="BA316" s="11"/>
      <c r="BB316" s="10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  <c r="BM316" s="11"/>
      <c r="BN316" s="11"/>
      <c r="BO316" s="11"/>
      <c r="BP316" s="11"/>
      <c r="BQ316" s="11"/>
      <c r="BR316" s="11"/>
      <c r="BS316" s="11"/>
      <c r="BT316" s="11"/>
      <c r="BU316" s="11"/>
      <c r="BV316" s="11"/>
      <c r="BW316" s="11"/>
      <c r="BX316" s="11"/>
      <c r="BY316" s="11"/>
      <c r="BZ316" s="11"/>
      <c r="CA316" s="11"/>
      <c r="CB316" s="11"/>
      <c r="CC316" s="17"/>
      <c r="CD316" s="17"/>
      <c r="CE316" s="11"/>
      <c r="CF316" s="13"/>
      <c r="CG316" s="13"/>
      <c r="CH316" s="13"/>
      <c r="CI316" s="13"/>
      <c r="CJ316" s="13"/>
    </row>
    <row r="317" spans="1:88" s="9" customFormat="1" x14ac:dyDescent="0.25">
      <c r="A317" s="10"/>
      <c r="B317" s="10"/>
      <c r="C317" s="10"/>
      <c r="D317" s="10"/>
      <c r="E317" s="11"/>
      <c r="F317" s="10"/>
      <c r="G317" s="10"/>
      <c r="H317" s="10"/>
      <c r="I317" s="10"/>
      <c r="J317" s="10"/>
      <c r="K317" s="12"/>
      <c r="L317" s="10"/>
      <c r="M317" s="10"/>
      <c r="N317" s="13"/>
      <c r="O317" s="10"/>
      <c r="P317" s="10"/>
      <c r="Q317" s="10"/>
      <c r="R317" s="18"/>
      <c r="S317" s="10"/>
      <c r="T317" s="10"/>
      <c r="U317" s="13"/>
      <c r="V317" s="13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3"/>
      <c r="AL317" s="14"/>
      <c r="AM317" s="15"/>
      <c r="AN317" s="15"/>
      <c r="AO317" s="13"/>
      <c r="AP317" s="13"/>
      <c r="AQ317" s="16"/>
      <c r="AR317" s="10"/>
      <c r="AS317" s="10"/>
      <c r="AT317" s="10"/>
      <c r="AU317" s="10"/>
      <c r="AV317" s="11"/>
      <c r="AW317" s="11"/>
      <c r="AX317" s="10"/>
      <c r="AY317" s="11"/>
      <c r="AZ317" s="11"/>
      <c r="BA317" s="11"/>
      <c r="BB317" s="10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  <c r="BN317" s="11"/>
      <c r="BO317" s="11"/>
      <c r="BP317" s="11"/>
      <c r="BQ317" s="11"/>
      <c r="BR317" s="11"/>
      <c r="BS317" s="11"/>
      <c r="BT317" s="11"/>
      <c r="BU317" s="11"/>
      <c r="BV317" s="11"/>
      <c r="BW317" s="11"/>
      <c r="BX317" s="11"/>
      <c r="BY317" s="11"/>
      <c r="BZ317" s="11"/>
      <c r="CA317" s="11"/>
      <c r="CB317" s="11"/>
      <c r="CC317" s="17"/>
      <c r="CD317" s="17"/>
      <c r="CE317" s="11"/>
      <c r="CF317" s="13"/>
      <c r="CG317" s="13"/>
      <c r="CH317" s="13"/>
      <c r="CI317" s="13"/>
      <c r="CJ317" s="13"/>
    </row>
    <row r="318" spans="1:88" s="9" customFormat="1" x14ac:dyDescent="0.25">
      <c r="A318" s="10"/>
      <c r="B318" s="10"/>
      <c r="C318" s="10"/>
      <c r="D318" s="10"/>
      <c r="E318" s="11"/>
      <c r="F318" s="10"/>
      <c r="G318" s="10"/>
      <c r="H318" s="10"/>
      <c r="I318" s="10"/>
      <c r="J318" s="10"/>
      <c r="K318" s="12"/>
      <c r="L318" s="10"/>
      <c r="M318" s="10"/>
      <c r="N318" s="13"/>
      <c r="O318" s="10"/>
      <c r="P318" s="10"/>
      <c r="Q318" s="10"/>
      <c r="R318" s="18"/>
      <c r="S318" s="10"/>
      <c r="T318" s="10"/>
      <c r="U318" s="13"/>
      <c r="V318" s="13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3"/>
      <c r="AL318" s="14"/>
      <c r="AM318" s="15"/>
      <c r="AN318" s="15"/>
      <c r="AO318" s="13"/>
      <c r="AP318" s="13"/>
      <c r="AQ318" s="16"/>
      <c r="AR318" s="10"/>
      <c r="AS318" s="10"/>
      <c r="AT318" s="10"/>
      <c r="AU318" s="10"/>
      <c r="AV318" s="11"/>
      <c r="AW318" s="11"/>
      <c r="AX318" s="10"/>
      <c r="AY318" s="11"/>
      <c r="AZ318" s="11"/>
      <c r="BA318" s="11"/>
      <c r="BB318" s="10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  <c r="BM318" s="11"/>
      <c r="BN318" s="11"/>
      <c r="BO318" s="11"/>
      <c r="BP318" s="11"/>
      <c r="BQ318" s="11"/>
      <c r="BR318" s="11"/>
      <c r="BS318" s="11"/>
      <c r="BT318" s="11"/>
      <c r="BU318" s="11"/>
      <c r="BV318" s="11"/>
      <c r="BW318" s="11"/>
      <c r="BX318" s="11"/>
      <c r="BY318" s="11"/>
      <c r="BZ318" s="11"/>
      <c r="CA318" s="11"/>
      <c r="CB318" s="11"/>
      <c r="CC318" s="17"/>
      <c r="CD318" s="17"/>
      <c r="CE318" s="11"/>
      <c r="CF318" s="13"/>
      <c r="CG318" s="13"/>
      <c r="CH318" s="13"/>
      <c r="CI318" s="13"/>
      <c r="CJ318" s="13"/>
    </row>
    <row r="319" spans="1:88" s="9" customFormat="1" x14ac:dyDescent="0.25">
      <c r="A319" s="10"/>
      <c r="B319" s="10"/>
      <c r="C319" s="10"/>
      <c r="D319" s="10"/>
      <c r="E319" s="11"/>
      <c r="F319" s="10"/>
      <c r="G319" s="10"/>
      <c r="H319" s="10"/>
      <c r="I319" s="10"/>
      <c r="J319" s="10"/>
      <c r="K319" s="12"/>
      <c r="L319" s="10"/>
      <c r="M319" s="10"/>
      <c r="N319" s="13"/>
      <c r="O319" s="10"/>
      <c r="P319" s="10"/>
      <c r="Q319" s="10"/>
      <c r="R319" s="18"/>
      <c r="S319" s="10"/>
      <c r="T319" s="10"/>
      <c r="U319" s="13"/>
      <c r="V319" s="13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3"/>
      <c r="AL319" s="14"/>
      <c r="AM319" s="15"/>
      <c r="AN319" s="15"/>
      <c r="AO319" s="13"/>
      <c r="AP319" s="13"/>
      <c r="AQ319" s="16"/>
      <c r="AR319" s="10"/>
      <c r="AS319" s="10"/>
      <c r="AT319" s="10"/>
      <c r="AU319" s="10"/>
      <c r="AV319" s="11"/>
      <c r="AW319" s="11"/>
      <c r="AX319" s="10"/>
      <c r="AY319" s="11"/>
      <c r="AZ319" s="11"/>
      <c r="BA319" s="11"/>
      <c r="BB319" s="10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  <c r="BN319" s="11"/>
      <c r="BO319" s="11"/>
      <c r="BP319" s="11"/>
      <c r="BQ319" s="11"/>
      <c r="BR319" s="11"/>
      <c r="BS319" s="11"/>
      <c r="BT319" s="11"/>
      <c r="BU319" s="11"/>
      <c r="BV319" s="11"/>
      <c r="BW319" s="11"/>
      <c r="BX319" s="11"/>
      <c r="BY319" s="11"/>
      <c r="BZ319" s="11"/>
      <c r="CA319" s="11"/>
      <c r="CB319" s="11"/>
      <c r="CC319" s="17"/>
      <c r="CD319" s="17"/>
      <c r="CE319" s="11"/>
      <c r="CF319" s="13"/>
      <c r="CG319" s="13"/>
      <c r="CH319" s="13"/>
      <c r="CI319" s="13"/>
      <c r="CJ319" s="13"/>
    </row>
    <row r="320" spans="1:88" s="9" customFormat="1" x14ac:dyDescent="0.25">
      <c r="A320" s="10"/>
      <c r="B320" s="10"/>
      <c r="C320" s="10"/>
      <c r="D320" s="10"/>
      <c r="E320" s="11"/>
      <c r="F320" s="10"/>
      <c r="G320" s="10"/>
      <c r="H320" s="10"/>
      <c r="I320" s="10"/>
      <c r="J320" s="10"/>
      <c r="K320" s="12"/>
      <c r="L320" s="10"/>
      <c r="M320" s="10"/>
      <c r="N320" s="13"/>
      <c r="O320" s="10"/>
      <c r="P320" s="10"/>
      <c r="Q320" s="10"/>
      <c r="R320" s="18"/>
      <c r="S320" s="10"/>
      <c r="T320" s="10"/>
      <c r="U320" s="13"/>
      <c r="V320" s="13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3"/>
      <c r="AL320" s="14"/>
      <c r="AM320" s="15"/>
      <c r="AN320" s="15"/>
      <c r="AO320" s="13"/>
      <c r="AP320" s="13"/>
      <c r="AQ320" s="16"/>
      <c r="AR320" s="10"/>
      <c r="AS320" s="10"/>
      <c r="AT320" s="10"/>
      <c r="AU320" s="10"/>
      <c r="AV320" s="11"/>
      <c r="AW320" s="11"/>
      <c r="AX320" s="10"/>
      <c r="AY320" s="11"/>
      <c r="AZ320" s="11"/>
      <c r="BA320" s="11"/>
      <c r="BB320" s="10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  <c r="BM320" s="11"/>
      <c r="BN320" s="11"/>
      <c r="BO320" s="11"/>
      <c r="BP320" s="11"/>
      <c r="BQ320" s="11"/>
      <c r="BR320" s="11"/>
      <c r="BS320" s="11"/>
      <c r="BT320" s="11"/>
      <c r="BU320" s="11"/>
      <c r="BV320" s="11"/>
      <c r="BW320" s="11"/>
      <c r="BX320" s="11"/>
      <c r="BY320" s="11"/>
      <c r="BZ320" s="11"/>
      <c r="CA320" s="11"/>
      <c r="CB320" s="11"/>
      <c r="CC320" s="17"/>
      <c r="CD320" s="17"/>
      <c r="CE320" s="11"/>
      <c r="CF320" s="13"/>
      <c r="CG320" s="13"/>
      <c r="CH320" s="13"/>
      <c r="CI320" s="13"/>
      <c r="CJ320" s="13"/>
    </row>
    <row r="321" spans="1:88" s="9" customFormat="1" x14ac:dyDescent="0.25">
      <c r="A321" s="10"/>
      <c r="B321" s="10"/>
      <c r="C321" s="10"/>
      <c r="D321" s="10"/>
      <c r="E321" s="11"/>
      <c r="F321" s="10"/>
      <c r="G321" s="10"/>
      <c r="H321" s="10"/>
      <c r="I321" s="10"/>
      <c r="J321" s="10"/>
      <c r="K321" s="12"/>
      <c r="L321" s="10"/>
      <c r="M321" s="10"/>
      <c r="N321" s="13"/>
      <c r="O321" s="10"/>
      <c r="P321" s="10"/>
      <c r="Q321" s="10"/>
      <c r="R321" s="18"/>
      <c r="S321" s="10"/>
      <c r="T321" s="10"/>
      <c r="U321" s="13"/>
      <c r="V321" s="13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3"/>
      <c r="AL321" s="14"/>
      <c r="AM321" s="15"/>
      <c r="AN321" s="15"/>
      <c r="AO321" s="13"/>
      <c r="AP321" s="13"/>
      <c r="AQ321" s="16"/>
      <c r="AR321" s="10"/>
      <c r="AS321" s="10"/>
      <c r="AT321" s="10"/>
      <c r="AU321" s="10"/>
      <c r="AV321" s="11"/>
      <c r="AW321" s="11"/>
      <c r="AX321" s="10"/>
      <c r="AY321" s="11"/>
      <c r="AZ321" s="11"/>
      <c r="BA321" s="11"/>
      <c r="BB321" s="10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  <c r="BN321" s="11"/>
      <c r="BO321" s="11"/>
      <c r="BP321" s="11"/>
      <c r="BQ321" s="11"/>
      <c r="BR321" s="11"/>
      <c r="BS321" s="11"/>
      <c r="BT321" s="11"/>
      <c r="BU321" s="11"/>
      <c r="BV321" s="11"/>
      <c r="BW321" s="11"/>
      <c r="BX321" s="11"/>
      <c r="BY321" s="11"/>
      <c r="BZ321" s="11"/>
      <c r="CA321" s="11"/>
      <c r="CB321" s="11"/>
      <c r="CC321" s="17"/>
      <c r="CD321" s="17"/>
      <c r="CE321" s="11"/>
      <c r="CF321" s="13"/>
      <c r="CG321" s="13"/>
      <c r="CH321" s="13"/>
      <c r="CI321" s="13"/>
      <c r="CJ321" s="13"/>
    </row>
    <row r="322" spans="1:88" s="9" customFormat="1" x14ac:dyDescent="0.25">
      <c r="A322" s="10"/>
      <c r="B322" s="10"/>
      <c r="C322" s="10"/>
      <c r="D322" s="10"/>
      <c r="E322" s="11"/>
      <c r="F322" s="10"/>
      <c r="G322" s="10"/>
      <c r="H322" s="10"/>
      <c r="I322" s="10"/>
      <c r="J322" s="10"/>
      <c r="K322" s="12"/>
      <c r="L322" s="10"/>
      <c r="M322" s="10"/>
      <c r="N322" s="13"/>
      <c r="O322" s="10"/>
      <c r="P322" s="10"/>
      <c r="Q322" s="10"/>
      <c r="R322" s="18"/>
      <c r="S322" s="10"/>
      <c r="T322" s="10"/>
      <c r="U322" s="13"/>
      <c r="V322" s="13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3"/>
      <c r="AL322" s="14"/>
      <c r="AM322" s="15"/>
      <c r="AN322" s="15"/>
      <c r="AO322" s="13"/>
      <c r="AP322" s="13"/>
      <c r="AQ322" s="16"/>
      <c r="AR322" s="10"/>
      <c r="AS322" s="10"/>
      <c r="AT322" s="10"/>
      <c r="AU322" s="10"/>
      <c r="AV322" s="11"/>
      <c r="AW322" s="11"/>
      <c r="AX322" s="10"/>
      <c r="AY322" s="11"/>
      <c r="AZ322" s="11"/>
      <c r="BA322" s="11"/>
      <c r="BB322" s="10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  <c r="BM322" s="11"/>
      <c r="BN322" s="11"/>
      <c r="BO322" s="11"/>
      <c r="BP322" s="11"/>
      <c r="BQ322" s="11"/>
      <c r="BR322" s="11"/>
      <c r="BS322" s="11"/>
      <c r="BT322" s="11"/>
      <c r="BU322" s="11"/>
      <c r="BV322" s="11"/>
      <c r="BW322" s="11"/>
      <c r="BX322" s="11"/>
      <c r="BY322" s="11"/>
      <c r="BZ322" s="11"/>
      <c r="CA322" s="11"/>
      <c r="CB322" s="11"/>
      <c r="CC322" s="17"/>
      <c r="CD322" s="17"/>
      <c r="CE322" s="11"/>
      <c r="CF322" s="13"/>
      <c r="CG322" s="13"/>
      <c r="CH322" s="13"/>
      <c r="CI322" s="13"/>
      <c r="CJ322" s="13"/>
    </row>
    <row r="323" spans="1:88" s="9" customFormat="1" x14ac:dyDescent="0.25">
      <c r="A323" s="10"/>
      <c r="B323" s="10"/>
      <c r="C323" s="10"/>
      <c r="D323" s="10"/>
      <c r="E323" s="11"/>
      <c r="F323" s="10"/>
      <c r="G323" s="10"/>
      <c r="H323" s="10"/>
      <c r="I323" s="10"/>
      <c r="J323" s="10"/>
      <c r="K323" s="12"/>
      <c r="L323" s="10"/>
      <c r="M323" s="10"/>
      <c r="N323" s="13"/>
      <c r="O323" s="10"/>
      <c r="P323" s="10"/>
      <c r="Q323" s="10"/>
      <c r="R323" s="18"/>
      <c r="S323" s="10"/>
      <c r="T323" s="10"/>
      <c r="U323" s="13"/>
      <c r="V323" s="13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3"/>
      <c r="AL323" s="14"/>
      <c r="AM323" s="15"/>
      <c r="AN323" s="15"/>
      <c r="AO323" s="13"/>
      <c r="AP323" s="13"/>
      <c r="AQ323" s="16"/>
      <c r="AR323" s="10"/>
      <c r="AS323" s="10"/>
      <c r="AT323" s="10"/>
      <c r="AU323" s="10"/>
      <c r="AV323" s="11"/>
      <c r="AW323" s="11"/>
      <c r="AX323" s="10"/>
      <c r="AY323" s="11"/>
      <c r="AZ323" s="11"/>
      <c r="BA323" s="11"/>
      <c r="BB323" s="10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  <c r="BN323" s="11"/>
      <c r="BO323" s="11"/>
      <c r="BP323" s="11"/>
      <c r="BQ323" s="11"/>
      <c r="BR323" s="11"/>
      <c r="BS323" s="11"/>
      <c r="BT323" s="11"/>
      <c r="BU323" s="11"/>
      <c r="BV323" s="11"/>
      <c r="BW323" s="11"/>
      <c r="BX323" s="11"/>
      <c r="BY323" s="11"/>
      <c r="BZ323" s="11"/>
      <c r="CA323" s="11"/>
      <c r="CB323" s="11"/>
      <c r="CC323" s="17"/>
      <c r="CD323" s="17"/>
      <c r="CE323" s="11"/>
      <c r="CF323" s="13"/>
      <c r="CG323" s="13"/>
      <c r="CH323" s="13"/>
      <c r="CI323" s="13"/>
      <c r="CJ323" s="13"/>
    </row>
    <row r="324" spans="1:88" s="9" customFormat="1" x14ac:dyDescent="0.25">
      <c r="A324" s="10"/>
      <c r="B324" s="10"/>
      <c r="C324" s="10"/>
      <c r="D324" s="10"/>
      <c r="E324" s="11"/>
      <c r="F324" s="10"/>
      <c r="G324" s="10"/>
      <c r="H324" s="10"/>
      <c r="I324" s="10"/>
      <c r="J324" s="10"/>
      <c r="K324" s="12"/>
      <c r="L324" s="10"/>
      <c r="M324" s="10"/>
      <c r="N324" s="13"/>
      <c r="O324" s="10"/>
      <c r="P324" s="10"/>
      <c r="Q324" s="10"/>
      <c r="R324" s="18"/>
      <c r="S324" s="10"/>
      <c r="T324" s="10"/>
      <c r="U324" s="13"/>
      <c r="V324" s="13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3"/>
      <c r="AL324" s="14"/>
      <c r="AM324" s="15"/>
      <c r="AN324" s="15"/>
      <c r="AO324" s="13"/>
      <c r="AP324" s="13"/>
      <c r="AQ324" s="16"/>
      <c r="AR324" s="10"/>
      <c r="AS324" s="10"/>
      <c r="AT324" s="10"/>
      <c r="AU324" s="10"/>
      <c r="AV324" s="11"/>
      <c r="AW324" s="11"/>
      <c r="AX324" s="10"/>
      <c r="AY324" s="11"/>
      <c r="AZ324" s="11"/>
      <c r="BA324" s="11"/>
      <c r="BB324" s="10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  <c r="BN324" s="11"/>
      <c r="BO324" s="11"/>
      <c r="BP324" s="11"/>
      <c r="BQ324" s="11"/>
      <c r="BR324" s="11"/>
      <c r="BS324" s="11"/>
      <c r="BT324" s="11"/>
      <c r="BU324" s="11"/>
      <c r="BV324" s="11"/>
      <c r="BW324" s="11"/>
      <c r="BX324" s="11"/>
      <c r="BY324" s="11"/>
      <c r="BZ324" s="11"/>
      <c r="CA324" s="11"/>
      <c r="CB324" s="11"/>
      <c r="CC324" s="17"/>
      <c r="CD324" s="17"/>
      <c r="CE324" s="11"/>
      <c r="CF324" s="13"/>
      <c r="CG324" s="13"/>
      <c r="CH324" s="13"/>
      <c r="CI324" s="13"/>
      <c r="CJ324" s="13"/>
    </row>
    <row r="325" spans="1:88" s="9" customFormat="1" x14ac:dyDescent="0.25">
      <c r="A325" s="10"/>
      <c r="B325" s="10"/>
      <c r="C325" s="10"/>
      <c r="D325" s="10"/>
      <c r="E325" s="11"/>
      <c r="F325" s="10"/>
      <c r="G325" s="10"/>
      <c r="H325" s="10"/>
      <c r="I325" s="10"/>
      <c r="J325" s="10"/>
      <c r="K325" s="12"/>
      <c r="L325" s="10"/>
      <c r="M325" s="10"/>
      <c r="N325" s="13"/>
      <c r="O325" s="10"/>
      <c r="P325" s="10"/>
      <c r="Q325" s="10"/>
      <c r="R325" s="18"/>
      <c r="S325" s="10"/>
      <c r="T325" s="10"/>
      <c r="U325" s="13"/>
      <c r="V325" s="13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3"/>
      <c r="AL325" s="14"/>
      <c r="AM325" s="15"/>
      <c r="AN325" s="15"/>
      <c r="AO325" s="13"/>
      <c r="AP325" s="13"/>
      <c r="AQ325" s="16"/>
      <c r="AR325" s="10"/>
      <c r="AS325" s="10"/>
      <c r="AT325" s="10"/>
      <c r="AU325" s="10"/>
      <c r="AV325" s="11"/>
      <c r="AW325" s="11"/>
      <c r="AX325" s="10"/>
      <c r="AY325" s="11"/>
      <c r="AZ325" s="11"/>
      <c r="BA325" s="11"/>
      <c r="BB325" s="10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  <c r="BN325" s="11"/>
      <c r="BO325" s="11"/>
      <c r="BP325" s="11"/>
      <c r="BQ325" s="11"/>
      <c r="BR325" s="11"/>
      <c r="BS325" s="11"/>
      <c r="BT325" s="11"/>
      <c r="BU325" s="11"/>
      <c r="BV325" s="11"/>
      <c r="BW325" s="11"/>
      <c r="BX325" s="11"/>
      <c r="BY325" s="11"/>
      <c r="BZ325" s="11"/>
      <c r="CA325" s="11"/>
      <c r="CB325" s="11"/>
      <c r="CC325" s="17"/>
      <c r="CD325" s="17"/>
      <c r="CE325" s="11"/>
      <c r="CF325" s="13"/>
      <c r="CG325" s="13"/>
      <c r="CH325" s="13"/>
      <c r="CI325" s="13"/>
      <c r="CJ325" s="13"/>
    </row>
    <row r="326" spans="1:88" s="9" customFormat="1" x14ac:dyDescent="0.25">
      <c r="A326" s="10"/>
      <c r="B326" s="10"/>
      <c r="C326" s="10"/>
      <c r="D326" s="10"/>
      <c r="E326" s="11"/>
      <c r="F326" s="10"/>
      <c r="G326" s="10"/>
      <c r="H326" s="10"/>
      <c r="I326" s="10"/>
      <c r="J326" s="10"/>
      <c r="K326" s="12"/>
      <c r="L326" s="10"/>
      <c r="M326" s="10"/>
      <c r="N326" s="13"/>
      <c r="O326" s="10"/>
      <c r="P326" s="10"/>
      <c r="Q326" s="10"/>
      <c r="R326" s="18"/>
      <c r="S326" s="10"/>
      <c r="T326" s="10"/>
      <c r="U326" s="13"/>
      <c r="V326" s="13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3"/>
      <c r="AL326" s="14"/>
      <c r="AM326" s="15"/>
      <c r="AN326" s="15"/>
      <c r="AO326" s="13"/>
      <c r="AP326" s="13"/>
      <c r="AQ326" s="16"/>
      <c r="AR326" s="10"/>
      <c r="AS326" s="10"/>
      <c r="AT326" s="10"/>
      <c r="AU326" s="10"/>
      <c r="AV326" s="11"/>
      <c r="AW326" s="11"/>
      <c r="AX326" s="10"/>
      <c r="AY326" s="11"/>
      <c r="AZ326" s="11"/>
      <c r="BA326" s="11"/>
      <c r="BB326" s="10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S326" s="11"/>
      <c r="BT326" s="11"/>
      <c r="BU326" s="11"/>
      <c r="BV326" s="11"/>
      <c r="BW326" s="11"/>
      <c r="BX326" s="11"/>
      <c r="BY326" s="11"/>
      <c r="BZ326" s="11"/>
      <c r="CA326" s="11"/>
      <c r="CB326" s="11"/>
      <c r="CC326" s="17"/>
      <c r="CD326" s="17"/>
      <c r="CE326" s="11"/>
      <c r="CF326" s="13"/>
      <c r="CG326" s="13"/>
      <c r="CH326" s="13"/>
      <c r="CI326" s="13"/>
      <c r="CJ326" s="13"/>
    </row>
    <row r="327" spans="1:88" s="9" customFormat="1" x14ac:dyDescent="0.25">
      <c r="A327" s="10"/>
      <c r="B327" s="10"/>
      <c r="C327" s="10"/>
      <c r="D327" s="10"/>
      <c r="E327" s="11"/>
      <c r="F327" s="10"/>
      <c r="G327" s="10"/>
      <c r="H327" s="10"/>
      <c r="I327" s="10"/>
      <c r="J327" s="10"/>
      <c r="K327" s="12"/>
      <c r="L327" s="10"/>
      <c r="M327" s="10"/>
      <c r="N327" s="13"/>
      <c r="O327" s="10"/>
      <c r="P327" s="10"/>
      <c r="Q327" s="10"/>
      <c r="R327" s="18"/>
      <c r="S327" s="10"/>
      <c r="T327" s="10"/>
      <c r="U327" s="13"/>
      <c r="V327" s="13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3"/>
      <c r="AL327" s="14"/>
      <c r="AM327" s="15"/>
      <c r="AN327" s="15"/>
      <c r="AO327" s="13"/>
      <c r="AP327" s="13"/>
      <c r="AQ327" s="16"/>
      <c r="AR327" s="10"/>
      <c r="AS327" s="10"/>
      <c r="AT327" s="10"/>
      <c r="AU327" s="10"/>
      <c r="AV327" s="11"/>
      <c r="AW327" s="11"/>
      <c r="AX327" s="10"/>
      <c r="AY327" s="11"/>
      <c r="AZ327" s="11"/>
      <c r="BA327" s="11"/>
      <c r="BB327" s="10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  <c r="BN327" s="11"/>
      <c r="BO327" s="11"/>
      <c r="BP327" s="11"/>
      <c r="BQ327" s="11"/>
      <c r="BR327" s="11"/>
      <c r="BS327" s="11"/>
      <c r="BT327" s="11"/>
      <c r="BU327" s="11"/>
      <c r="BV327" s="11"/>
      <c r="BW327" s="11"/>
      <c r="BX327" s="11"/>
      <c r="BY327" s="11"/>
      <c r="BZ327" s="11"/>
      <c r="CA327" s="11"/>
      <c r="CB327" s="11"/>
      <c r="CC327" s="17"/>
      <c r="CD327" s="17"/>
      <c r="CE327" s="11"/>
      <c r="CF327" s="13"/>
      <c r="CG327" s="13"/>
      <c r="CH327" s="13"/>
      <c r="CI327" s="13"/>
      <c r="CJ327" s="13"/>
    </row>
    <row r="328" spans="1:88" s="9" customFormat="1" x14ac:dyDescent="0.25">
      <c r="A328" s="10"/>
      <c r="B328" s="10"/>
      <c r="C328" s="10"/>
      <c r="D328" s="10"/>
      <c r="E328" s="11"/>
      <c r="F328" s="10"/>
      <c r="G328" s="10"/>
      <c r="H328" s="10"/>
      <c r="I328" s="10"/>
      <c r="J328" s="10"/>
      <c r="K328" s="12"/>
      <c r="L328" s="10"/>
      <c r="M328" s="10"/>
      <c r="N328" s="13"/>
      <c r="O328" s="10"/>
      <c r="P328" s="10"/>
      <c r="Q328" s="10"/>
      <c r="R328" s="18"/>
      <c r="S328" s="10"/>
      <c r="T328" s="10"/>
      <c r="U328" s="13"/>
      <c r="V328" s="13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3"/>
      <c r="AL328" s="14"/>
      <c r="AM328" s="15"/>
      <c r="AN328" s="15"/>
      <c r="AO328" s="13"/>
      <c r="AP328" s="13"/>
      <c r="AQ328" s="16"/>
      <c r="AR328" s="10"/>
      <c r="AS328" s="10"/>
      <c r="AT328" s="10"/>
      <c r="AU328" s="10"/>
      <c r="AV328" s="11"/>
      <c r="AW328" s="11"/>
      <c r="AX328" s="10"/>
      <c r="AY328" s="11"/>
      <c r="AZ328" s="11"/>
      <c r="BA328" s="11"/>
      <c r="BB328" s="10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  <c r="BM328" s="11"/>
      <c r="BN328" s="11"/>
      <c r="BO328" s="11"/>
      <c r="BP328" s="11"/>
      <c r="BQ328" s="11"/>
      <c r="BR328" s="11"/>
      <c r="BS328" s="11"/>
      <c r="BT328" s="11"/>
      <c r="BU328" s="11"/>
      <c r="BV328" s="11"/>
      <c r="BW328" s="11"/>
      <c r="BX328" s="11"/>
      <c r="BY328" s="11"/>
      <c r="BZ328" s="11"/>
      <c r="CA328" s="11"/>
      <c r="CB328" s="11"/>
      <c r="CC328" s="17"/>
      <c r="CD328" s="17"/>
      <c r="CE328" s="11"/>
      <c r="CF328" s="13"/>
      <c r="CG328" s="13"/>
      <c r="CH328" s="13"/>
      <c r="CI328" s="13"/>
      <c r="CJ328" s="13"/>
    </row>
    <row r="329" spans="1:88" s="9" customFormat="1" x14ac:dyDescent="0.25">
      <c r="A329" s="10"/>
      <c r="B329" s="10"/>
      <c r="C329" s="10"/>
      <c r="D329" s="10"/>
      <c r="E329" s="11"/>
      <c r="F329" s="10"/>
      <c r="G329" s="10"/>
      <c r="H329" s="10"/>
      <c r="I329" s="10"/>
      <c r="J329" s="10"/>
      <c r="K329" s="12"/>
      <c r="L329" s="10"/>
      <c r="M329" s="10"/>
      <c r="N329" s="13"/>
      <c r="O329" s="10"/>
      <c r="P329" s="10"/>
      <c r="Q329" s="10"/>
      <c r="R329" s="18"/>
      <c r="S329" s="10"/>
      <c r="T329" s="10"/>
      <c r="U329" s="13"/>
      <c r="V329" s="13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3"/>
      <c r="AL329" s="14"/>
      <c r="AM329" s="15"/>
      <c r="AN329" s="15"/>
      <c r="AO329" s="13"/>
      <c r="AP329" s="13"/>
      <c r="AQ329" s="16"/>
      <c r="AR329" s="10"/>
      <c r="AS329" s="10"/>
      <c r="AT329" s="10"/>
      <c r="AU329" s="10"/>
      <c r="AV329" s="11"/>
      <c r="AW329" s="11"/>
      <c r="AX329" s="10"/>
      <c r="AY329" s="11"/>
      <c r="AZ329" s="11"/>
      <c r="BA329" s="11"/>
      <c r="BB329" s="10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  <c r="BN329" s="11"/>
      <c r="BO329" s="11"/>
      <c r="BP329" s="11"/>
      <c r="BQ329" s="11"/>
      <c r="BR329" s="11"/>
      <c r="BS329" s="11"/>
      <c r="BT329" s="11"/>
      <c r="BU329" s="11"/>
      <c r="BV329" s="11"/>
      <c r="BW329" s="11"/>
      <c r="BX329" s="11"/>
      <c r="BY329" s="11"/>
      <c r="BZ329" s="11"/>
      <c r="CA329" s="11"/>
      <c r="CB329" s="11"/>
      <c r="CC329" s="17"/>
      <c r="CD329" s="17"/>
      <c r="CE329" s="11"/>
      <c r="CF329" s="13"/>
      <c r="CG329" s="13"/>
      <c r="CH329" s="13"/>
      <c r="CI329" s="13"/>
      <c r="CJ329" s="13"/>
    </row>
    <row r="330" spans="1:88" s="9" customFormat="1" x14ac:dyDescent="0.25">
      <c r="A330" s="10"/>
      <c r="B330" s="10"/>
      <c r="C330" s="10"/>
      <c r="D330" s="10"/>
      <c r="E330" s="11"/>
      <c r="F330" s="10"/>
      <c r="G330" s="10"/>
      <c r="H330" s="10"/>
      <c r="I330" s="10"/>
      <c r="J330" s="10"/>
      <c r="K330" s="12"/>
      <c r="L330" s="10"/>
      <c r="M330" s="10"/>
      <c r="N330" s="13"/>
      <c r="O330" s="10"/>
      <c r="P330" s="10"/>
      <c r="Q330" s="10"/>
      <c r="R330" s="18"/>
      <c r="S330" s="10"/>
      <c r="T330" s="10"/>
      <c r="U330" s="13"/>
      <c r="V330" s="13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3"/>
      <c r="AL330" s="14"/>
      <c r="AM330" s="15"/>
      <c r="AN330" s="15"/>
      <c r="AO330" s="13"/>
      <c r="AP330" s="13"/>
      <c r="AQ330" s="16"/>
      <c r="AR330" s="10"/>
      <c r="AS330" s="10"/>
      <c r="AT330" s="10"/>
      <c r="AU330" s="10"/>
      <c r="AV330" s="11"/>
      <c r="AW330" s="11"/>
      <c r="AX330" s="10"/>
      <c r="AY330" s="11"/>
      <c r="AZ330" s="11"/>
      <c r="BA330" s="11"/>
      <c r="BB330" s="10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  <c r="BN330" s="11"/>
      <c r="BO330" s="11"/>
      <c r="BP330" s="11"/>
      <c r="BQ330" s="11"/>
      <c r="BR330" s="11"/>
      <c r="BS330" s="11"/>
      <c r="BT330" s="11"/>
      <c r="BU330" s="11"/>
      <c r="BV330" s="11"/>
      <c r="BW330" s="11"/>
      <c r="BX330" s="11"/>
      <c r="BY330" s="11"/>
      <c r="BZ330" s="11"/>
      <c r="CA330" s="11"/>
      <c r="CB330" s="11"/>
      <c r="CC330" s="17"/>
      <c r="CD330" s="17"/>
      <c r="CE330" s="11"/>
      <c r="CF330" s="13"/>
      <c r="CG330" s="13"/>
      <c r="CH330" s="13"/>
      <c r="CI330" s="13"/>
      <c r="CJ330" s="13"/>
    </row>
    <row r="331" spans="1:88" s="9" customFormat="1" x14ac:dyDescent="0.25">
      <c r="A331" s="10"/>
      <c r="B331" s="10"/>
      <c r="C331" s="10"/>
      <c r="D331" s="10"/>
      <c r="E331" s="11"/>
      <c r="F331" s="10"/>
      <c r="G331" s="10"/>
      <c r="H331" s="10"/>
      <c r="I331" s="10"/>
      <c r="J331" s="10"/>
      <c r="K331" s="12"/>
      <c r="L331" s="10"/>
      <c r="M331" s="10"/>
      <c r="N331" s="13"/>
      <c r="O331" s="10"/>
      <c r="P331" s="10"/>
      <c r="Q331" s="10"/>
      <c r="R331" s="18"/>
      <c r="S331" s="10"/>
      <c r="T331" s="10"/>
      <c r="U331" s="13"/>
      <c r="V331" s="13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3"/>
      <c r="AL331" s="14"/>
      <c r="AM331" s="15"/>
      <c r="AN331" s="15"/>
      <c r="AO331" s="13"/>
      <c r="AP331" s="13"/>
      <c r="AQ331" s="16"/>
      <c r="AR331" s="10"/>
      <c r="AS331" s="10"/>
      <c r="AT331" s="10"/>
      <c r="AU331" s="10"/>
      <c r="AV331" s="11"/>
      <c r="AW331" s="11"/>
      <c r="AX331" s="10"/>
      <c r="AY331" s="11"/>
      <c r="AZ331" s="11"/>
      <c r="BA331" s="11"/>
      <c r="BB331" s="10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  <c r="BN331" s="11"/>
      <c r="BO331" s="11"/>
      <c r="BP331" s="11"/>
      <c r="BQ331" s="11"/>
      <c r="BR331" s="11"/>
      <c r="BS331" s="11"/>
      <c r="BT331" s="11"/>
      <c r="BU331" s="11"/>
      <c r="BV331" s="11"/>
      <c r="BW331" s="11"/>
      <c r="BX331" s="11"/>
      <c r="BY331" s="11"/>
      <c r="BZ331" s="11"/>
      <c r="CA331" s="11"/>
      <c r="CB331" s="11"/>
      <c r="CC331" s="17"/>
      <c r="CD331" s="17"/>
      <c r="CE331" s="11"/>
      <c r="CF331" s="13"/>
      <c r="CG331" s="13"/>
      <c r="CH331" s="13"/>
      <c r="CI331" s="13"/>
      <c r="CJ331" s="13"/>
    </row>
    <row r="332" spans="1:88" s="9" customFormat="1" x14ac:dyDescent="0.25">
      <c r="A332" s="10"/>
      <c r="B332" s="10"/>
      <c r="C332" s="10"/>
      <c r="D332" s="10"/>
      <c r="E332" s="11"/>
      <c r="F332" s="10"/>
      <c r="G332" s="10"/>
      <c r="H332" s="10"/>
      <c r="I332" s="10"/>
      <c r="J332" s="10"/>
      <c r="K332" s="12"/>
      <c r="L332" s="10"/>
      <c r="M332" s="10"/>
      <c r="N332" s="13"/>
      <c r="O332" s="10"/>
      <c r="P332" s="10"/>
      <c r="Q332" s="10"/>
      <c r="R332" s="18"/>
      <c r="S332" s="10"/>
      <c r="T332" s="10"/>
      <c r="U332" s="13"/>
      <c r="V332" s="13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3"/>
      <c r="AL332" s="14"/>
      <c r="AM332" s="15"/>
      <c r="AN332" s="15"/>
      <c r="AO332" s="13"/>
      <c r="AP332" s="13"/>
      <c r="AQ332" s="16"/>
      <c r="AR332" s="10"/>
      <c r="AS332" s="10"/>
      <c r="AT332" s="10"/>
      <c r="AU332" s="10"/>
      <c r="AV332" s="11"/>
      <c r="AW332" s="11"/>
      <c r="AX332" s="10"/>
      <c r="AY332" s="11"/>
      <c r="AZ332" s="11"/>
      <c r="BA332" s="11"/>
      <c r="BB332" s="10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  <c r="BN332" s="11"/>
      <c r="BO332" s="11"/>
      <c r="BP332" s="11"/>
      <c r="BQ332" s="11"/>
      <c r="BR332" s="11"/>
      <c r="BS332" s="11"/>
      <c r="BT332" s="11"/>
      <c r="BU332" s="11"/>
      <c r="BV332" s="11"/>
      <c r="BW332" s="11"/>
      <c r="BX332" s="11"/>
      <c r="BY332" s="11"/>
      <c r="BZ332" s="11"/>
      <c r="CA332" s="11"/>
      <c r="CB332" s="11"/>
      <c r="CC332" s="17"/>
      <c r="CD332" s="17"/>
      <c r="CE332" s="11"/>
      <c r="CF332" s="13"/>
      <c r="CG332" s="13"/>
      <c r="CH332" s="13"/>
      <c r="CI332" s="13"/>
      <c r="CJ332" s="13"/>
    </row>
    <row r="333" spans="1:88" s="9" customFormat="1" x14ac:dyDescent="0.25">
      <c r="A333" s="10"/>
      <c r="B333" s="10"/>
      <c r="C333" s="10"/>
      <c r="D333" s="10"/>
      <c r="E333" s="11"/>
      <c r="F333" s="10"/>
      <c r="G333" s="10"/>
      <c r="H333" s="10"/>
      <c r="I333" s="10"/>
      <c r="J333" s="10"/>
      <c r="K333" s="12"/>
      <c r="L333" s="10"/>
      <c r="M333" s="10"/>
      <c r="N333" s="13"/>
      <c r="O333" s="10"/>
      <c r="P333" s="10"/>
      <c r="Q333" s="10"/>
      <c r="R333" s="18"/>
      <c r="S333" s="10"/>
      <c r="T333" s="10"/>
      <c r="U333" s="13"/>
      <c r="V333" s="13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3"/>
      <c r="AL333" s="14"/>
      <c r="AM333" s="15"/>
      <c r="AN333" s="15"/>
      <c r="AO333" s="13"/>
      <c r="AP333" s="13"/>
      <c r="AQ333" s="16"/>
      <c r="AR333" s="10"/>
      <c r="AS333" s="10"/>
      <c r="AT333" s="10"/>
      <c r="AU333" s="10"/>
      <c r="AV333" s="11"/>
      <c r="AW333" s="11"/>
      <c r="AX333" s="10"/>
      <c r="AY333" s="11"/>
      <c r="AZ333" s="11"/>
      <c r="BA333" s="11"/>
      <c r="BB333" s="10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  <c r="BO333" s="11"/>
      <c r="BP333" s="11"/>
      <c r="BQ333" s="11"/>
      <c r="BR333" s="11"/>
      <c r="BS333" s="11"/>
      <c r="BT333" s="11"/>
      <c r="BU333" s="11"/>
      <c r="BV333" s="11"/>
      <c r="BW333" s="11"/>
      <c r="BX333" s="11"/>
      <c r="BY333" s="11"/>
      <c r="BZ333" s="11"/>
      <c r="CA333" s="11"/>
      <c r="CB333" s="11"/>
      <c r="CC333" s="17"/>
      <c r="CD333" s="17"/>
      <c r="CE333" s="11"/>
      <c r="CF333" s="13"/>
      <c r="CG333" s="13"/>
      <c r="CH333" s="13"/>
      <c r="CI333" s="13"/>
      <c r="CJ333" s="13"/>
    </row>
    <row r="334" spans="1:88" s="9" customFormat="1" x14ac:dyDescent="0.25">
      <c r="A334" s="10"/>
      <c r="B334" s="10"/>
      <c r="C334" s="10"/>
      <c r="D334" s="10"/>
      <c r="E334" s="11"/>
      <c r="F334" s="10"/>
      <c r="G334" s="10"/>
      <c r="H334" s="10"/>
      <c r="I334" s="10"/>
      <c r="J334" s="10"/>
      <c r="K334" s="12"/>
      <c r="L334" s="10"/>
      <c r="M334" s="10"/>
      <c r="N334" s="13"/>
      <c r="O334" s="10"/>
      <c r="P334" s="10"/>
      <c r="Q334" s="10"/>
      <c r="R334" s="18"/>
      <c r="S334" s="10"/>
      <c r="T334" s="10"/>
      <c r="U334" s="13"/>
      <c r="V334" s="13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3"/>
      <c r="AL334" s="14"/>
      <c r="AM334" s="15"/>
      <c r="AN334" s="15"/>
      <c r="AO334" s="13"/>
      <c r="AP334" s="13"/>
      <c r="AQ334" s="16"/>
      <c r="AR334" s="10"/>
      <c r="AS334" s="10"/>
      <c r="AT334" s="10"/>
      <c r="AU334" s="10"/>
      <c r="AV334" s="11"/>
      <c r="AW334" s="11"/>
      <c r="AX334" s="10"/>
      <c r="AY334" s="11"/>
      <c r="AZ334" s="11"/>
      <c r="BA334" s="11"/>
      <c r="BB334" s="10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  <c r="BM334" s="11"/>
      <c r="BN334" s="11"/>
      <c r="BO334" s="11"/>
      <c r="BP334" s="11"/>
      <c r="BQ334" s="11"/>
      <c r="BR334" s="11"/>
      <c r="BS334" s="11"/>
      <c r="BT334" s="11"/>
      <c r="BU334" s="11"/>
      <c r="BV334" s="11"/>
      <c r="BW334" s="11"/>
      <c r="BX334" s="11"/>
      <c r="BY334" s="11"/>
      <c r="BZ334" s="11"/>
      <c r="CA334" s="11"/>
      <c r="CB334" s="11"/>
      <c r="CC334" s="17"/>
      <c r="CD334" s="17"/>
      <c r="CE334" s="11"/>
      <c r="CF334" s="13"/>
      <c r="CG334" s="13"/>
      <c r="CH334" s="13"/>
      <c r="CI334" s="13"/>
      <c r="CJ334" s="13"/>
    </row>
    <row r="335" spans="1:88" s="9" customFormat="1" x14ac:dyDescent="0.25">
      <c r="A335" s="10"/>
      <c r="B335" s="10"/>
      <c r="C335" s="10"/>
      <c r="D335" s="10"/>
      <c r="E335" s="11"/>
      <c r="F335" s="10"/>
      <c r="G335" s="10"/>
      <c r="H335" s="10"/>
      <c r="I335" s="10"/>
      <c r="J335" s="10"/>
      <c r="K335" s="12"/>
      <c r="L335" s="10"/>
      <c r="M335" s="10"/>
      <c r="N335" s="13"/>
      <c r="O335" s="10"/>
      <c r="P335" s="10"/>
      <c r="Q335" s="10"/>
      <c r="R335" s="18"/>
      <c r="S335" s="10"/>
      <c r="T335" s="10"/>
      <c r="U335" s="13"/>
      <c r="V335" s="13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3"/>
      <c r="AL335" s="14"/>
      <c r="AM335" s="15"/>
      <c r="AN335" s="15"/>
      <c r="AO335" s="13"/>
      <c r="AP335" s="13"/>
      <c r="AQ335" s="16"/>
      <c r="AR335" s="10"/>
      <c r="AS335" s="10"/>
      <c r="AT335" s="10"/>
      <c r="AU335" s="10"/>
      <c r="AV335" s="11"/>
      <c r="AW335" s="11"/>
      <c r="AX335" s="10"/>
      <c r="AY335" s="11"/>
      <c r="AZ335" s="11"/>
      <c r="BA335" s="11"/>
      <c r="BB335" s="10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  <c r="BM335" s="11"/>
      <c r="BN335" s="11"/>
      <c r="BO335" s="11"/>
      <c r="BP335" s="11"/>
      <c r="BQ335" s="11"/>
      <c r="BR335" s="11"/>
      <c r="BS335" s="11"/>
      <c r="BT335" s="11"/>
      <c r="BU335" s="11"/>
      <c r="BV335" s="11"/>
      <c r="BW335" s="11"/>
      <c r="BX335" s="11"/>
      <c r="BY335" s="11"/>
      <c r="BZ335" s="11"/>
      <c r="CA335" s="11"/>
      <c r="CB335" s="11"/>
      <c r="CC335" s="17"/>
      <c r="CD335" s="17"/>
      <c r="CE335" s="11"/>
      <c r="CF335" s="13"/>
      <c r="CG335" s="13"/>
      <c r="CH335" s="13"/>
      <c r="CI335" s="13"/>
      <c r="CJ335" s="13"/>
    </row>
    <row r="336" spans="1:88" s="9" customFormat="1" x14ac:dyDescent="0.25">
      <c r="A336" s="10"/>
      <c r="B336" s="10"/>
      <c r="C336" s="10"/>
      <c r="D336" s="10"/>
      <c r="E336" s="11"/>
      <c r="F336" s="10"/>
      <c r="G336" s="10"/>
      <c r="H336" s="10"/>
      <c r="I336" s="10"/>
      <c r="J336" s="10"/>
      <c r="K336" s="12"/>
      <c r="L336" s="10"/>
      <c r="M336" s="10"/>
      <c r="N336" s="13"/>
      <c r="O336" s="10"/>
      <c r="P336" s="10"/>
      <c r="Q336" s="10"/>
      <c r="R336" s="18"/>
      <c r="S336" s="10"/>
      <c r="T336" s="10"/>
      <c r="U336" s="13"/>
      <c r="V336" s="13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3"/>
      <c r="AL336" s="14"/>
      <c r="AM336" s="15"/>
      <c r="AN336" s="15"/>
      <c r="AO336" s="13"/>
      <c r="AP336" s="13"/>
      <c r="AQ336" s="16"/>
      <c r="AR336" s="10"/>
      <c r="AS336" s="10"/>
      <c r="AT336" s="10"/>
      <c r="AU336" s="10"/>
      <c r="AV336" s="11"/>
      <c r="AW336" s="11"/>
      <c r="AX336" s="10"/>
      <c r="AY336" s="11"/>
      <c r="AZ336" s="11"/>
      <c r="BA336" s="11"/>
      <c r="BB336" s="10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  <c r="BN336" s="11"/>
      <c r="BO336" s="11"/>
      <c r="BP336" s="11"/>
      <c r="BQ336" s="11"/>
      <c r="BR336" s="11"/>
      <c r="BS336" s="11"/>
      <c r="BT336" s="11"/>
      <c r="BU336" s="11"/>
      <c r="BV336" s="11"/>
      <c r="BW336" s="11"/>
      <c r="BX336" s="11"/>
      <c r="BY336" s="11"/>
      <c r="BZ336" s="11"/>
      <c r="CA336" s="11"/>
      <c r="CB336" s="11"/>
      <c r="CC336" s="17"/>
      <c r="CD336" s="17"/>
      <c r="CE336" s="11"/>
      <c r="CF336" s="13"/>
      <c r="CG336" s="13"/>
      <c r="CH336" s="13"/>
      <c r="CI336" s="13"/>
      <c r="CJ336" s="13"/>
    </row>
    <row r="337" spans="1:88" s="9" customFormat="1" x14ac:dyDescent="0.25">
      <c r="A337" s="10"/>
      <c r="B337" s="10"/>
      <c r="C337" s="10"/>
      <c r="D337" s="10"/>
      <c r="E337" s="11"/>
      <c r="F337" s="10"/>
      <c r="G337" s="10"/>
      <c r="H337" s="10"/>
      <c r="I337" s="10"/>
      <c r="J337" s="10"/>
      <c r="K337" s="12"/>
      <c r="L337" s="10"/>
      <c r="M337" s="10"/>
      <c r="N337" s="13"/>
      <c r="O337" s="10"/>
      <c r="P337" s="10"/>
      <c r="Q337" s="10"/>
      <c r="R337" s="18"/>
      <c r="S337" s="10"/>
      <c r="T337" s="10"/>
      <c r="U337" s="13"/>
      <c r="V337" s="13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3"/>
      <c r="AL337" s="14"/>
      <c r="AM337" s="15"/>
      <c r="AN337" s="15"/>
      <c r="AO337" s="13"/>
      <c r="AP337" s="13"/>
      <c r="AQ337" s="16"/>
      <c r="AR337" s="10"/>
      <c r="AS337" s="10"/>
      <c r="AT337" s="10"/>
      <c r="AU337" s="10"/>
      <c r="AV337" s="11"/>
      <c r="AW337" s="11"/>
      <c r="AX337" s="10"/>
      <c r="AY337" s="11"/>
      <c r="AZ337" s="11"/>
      <c r="BA337" s="11"/>
      <c r="BB337" s="10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/>
      <c r="BN337" s="11"/>
      <c r="BO337" s="11"/>
      <c r="BP337" s="11"/>
      <c r="BQ337" s="11"/>
      <c r="BR337" s="11"/>
      <c r="BS337" s="11"/>
      <c r="BT337" s="11"/>
      <c r="BU337" s="11"/>
      <c r="BV337" s="11"/>
      <c r="BW337" s="11"/>
      <c r="BX337" s="11"/>
      <c r="BY337" s="11"/>
      <c r="BZ337" s="11"/>
      <c r="CA337" s="11"/>
      <c r="CB337" s="11"/>
      <c r="CC337" s="17"/>
      <c r="CD337" s="17"/>
      <c r="CE337" s="11"/>
      <c r="CF337" s="13"/>
      <c r="CG337" s="13"/>
      <c r="CH337" s="13"/>
      <c r="CI337" s="13"/>
      <c r="CJ337" s="13"/>
    </row>
    <row r="338" spans="1:88" s="9" customFormat="1" x14ac:dyDescent="0.25">
      <c r="A338" s="10"/>
      <c r="B338" s="10"/>
      <c r="C338" s="10"/>
      <c r="D338" s="10"/>
      <c r="E338" s="11"/>
      <c r="F338" s="10"/>
      <c r="G338" s="10"/>
      <c r="H338" s="10"/>
      <c r="I338" s="10"/>
      <c r="J338" s="10"/>
      <c r="K338" s="12"/>
      <c r="L338" s="10"/>
      <c r="M338" s="10"/>
      <c r="N338" s="13"/>
      <c r="O338" s="10"/>
      <c r="P338" s="10"/>
      <c r="Q338" s="10"/>
      <c r="R338" s="18"/>
      <c r="S338" s="10"/>
      <c r="T338" s="10"/>
      <c r="U338" s="13"/>
      <c r="V338" s="13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3"/>
      <c r="AL338" s="14"/>
      <c r="AM338" s="15"/>
      <c r="AN338" s="15"/>
      <c r="AO338" s="13"/>
      <c r="AP338" s="13"/>
      <c r="AQ338" s="16"/>
      <c r="AR338" s="10"/>
      <c r="AS338" s="10"/>
      <c r="AT338" s="10"/>
      <c r="AU338" s="10"/>
      <c r="AV338" s="11"/>
      <c r="AW338" s="11"/>
      <c r="AX338" s="10"/>
      <c r="AY338" s="11"/>
      <c r="AZ338" s="11"/>
      <c r="BA338" s="11"/>
      <c r="BB338" s="10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  <c r="BM338" s="11"/>
      <c r="BN338" s="11"/>
      <c r="BO338" s="11"/>
      <c r="BP338" s="11"/>
      <c r="BQ338" s="11"/>
      <c r="BR338" s="11"/>
      <c r="BS338" s="11"/>
      <c r="BT338" s="11"/>
      <c r="BU338" s="11"/>
      <c r="BV338" s="11"/>
      <c r="BW338" s="11"/>
      <c r="BX338" s="11"/>
      <c r="BY338" s="11"/>
      <c r="BZ338" s="11"/>
      <c r="CA338" s="11"/>
      <c r="CB338" s="11"/>
      <c r="CC338" s="17"/>
      <c r="CD338" s="17"/>
      <c r="CE338" s="11"/>
      <c r="CF338" s="13"/>
      <c r="CG338" s="13"/>
      <c r="CH338" s="13"/>
      <c r="CI338" s="13"/>
      <c r="CJ338" s="13"/>
    </row>
    <row r="339" spans="1:88" s="9" customFormat="1" x14ac:dyDescent="0.25">
      <c r="A339" s="10"/>
      <c r="B339" s="10"/>
      <c r="C339" s="10"/>
      <c r="D339" s="10"/>
      <c r="E339" s="11"/>
      <c r="F339" s="10"/>
      <c r="G339" s="10"/>
      <c r="H339" s="10"/>
      <c r="I339" s="10"/>
      <c r="J339" s="10"/>
      <c r="K339" s="12"/>
      <c r="L339" s="10"/>
      <c r="M339" s="10"/>
      <c r="N339" s="13"/>
      <c r="O339" s="10"/>
      <c r="P339" s="10"/>
      <c r="Q339" s="10"/>
      <c r="R339" s="18"/>
      <c r="S339" s="10"/>
      <c r="T339" s="10"/>
      <c r="U339" s="13"/>
      <c r="V339" s="13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3"/>
      <c r="AL339" s="14"/>
      <c r="AM339" s="15"/>
      <c r="AN339" s="15"/>
      <c r="AO339" s="13"/>
      <c r="AP339" s="13"/>
      <c r="AQ339" s="16"/>
      <c r="AR339" s="10"/>
      <c r="AS339" s="10"/>
      <c r="AT339" s="10"/>
      <c r="AU339" s="10"/>
      <c r="AV339" s="11"/>
      <c r="AW339" s="11"/>
      <c r="AX339" s="10"/>
      <c r="AY339" s="11"/>
      <c r="AZ339" s="11"/>
      <c r="BA339" s="11"/>
      <c r="BB339" s="10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  <c r="BM339" s="11"/>
      <c r="BN339" s="11"/>
      <c r="BO339" s="11"/>
      <c r="BP339" s="11"/>
      <c r="BQ339" s="11"/>
      <c r="BR339" s="11"/>
      <c r="BS339" s="11"/>
      <c r="BT339" s="11"/>
      <c r="BU339" s="11"/>
      <c r="BV339" s="11"/>
      <c r="BW339" s="11"/>
      <c r="BX339" s="11"/>
      <c r="BY339" s="11"/>
      <c r="BZ339" s="11"/>
      <c r="CA339" s="11"/>
      <c r="CB339" s="11"/>
      <c r="CC339" s="17"/>
      <c r="CD339" s="17"/>
      <c r="CE339" s="11"/>
      <c r="CF339" s="13"/>
      <c r="CG339" s="13"/>
      <c r="CH339" s="13"/>
      <c r="CI339" s="13"/>
      <c r="CJ339" s="13"/>
    </row>
    <row r="340" spans="1:88" s="9" customFormat="1" x14ac:dyDescent="0.25">
      <c r="A340" s="10"/>
      <c r="B340" s="10"/>
      <c r="C340" s="10"/>
      <c r="D340" s="10"/>
      <c r="E340" s="11"/>
      <c r="F340" s="10"/>
      <c r="G340" s="10"/>
      <c r="H340" s="10"/>
      <c r="I340" s="10"/>
      <c r="J340" s="10"/>
      <c r="K340" s="12"/>
      <c r="L340" s="10"/>
      <c r="M340" s="10"/>
      <c r="N340" s="13"/>
      <c r="O340" s="10"/>
      <c r="P340" s="10"/>
      <c r="Q340" s="10"/>
      <c r="R340" s="18"/>
      <c r="S340" s="10"/>
      <c r="T340" s="10"/>
      <c r="U340" s="13"/>
      <c r="V340" s="13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3"/>
      <c r="AL340" s="14"/>
      <c r="AM340" s="15"/>
      <c r="AN340" s="15"/>
      <c r="AO340" s="13"/>
      <c r="AP340" s="13"/>
      <c r="AQ340" s="16"/>
      <c r="AR340" s="10"/>
      <c r="AS340" s="10"/>
      <c r="AT340" s="10"/>
      <c r="AU340" s="10"/>
      <c r="AV340" s="11"/>
      <c r="AW340" s="11"/>
      <c r="AX340" s="10"/>
      <c r="AY340" s="11"/>
      <c r="AZ340" s="11"/>
      <c r="BA340" s="11"/>
      <c r="BB340" s="10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  <c r="BO340" s="11"/>
      <c r="BP340" s="11"/>
      <c r="BQ340" s="11"/>
      <c r="BR340" s="11"/>
      <c r="BS340" s="11"/>
      <c r="BT340" s="11"/>
      <c r="BU340" s="11"/>
      <c r="BV340" s="11"/>
      <c r="BW340" s="11"/>
      <c r="BX340" s="11"/>
      <c r="BY340" s="11"/>
      <c r="BZ340" s="11"/>
      <c r="CA340" s="11"/>
      <c r="CB340" s="11"/>
      <c r="CC340" s="17"/>
      <c r="CD340" s="17"/>
      <c r="CE340" s="11"/>
      <c r="CF340" s="13"/>
      <c r="CG340" s="13"/>
      <c r="CH340" s="13"/>
      <c r="CI340" s="13"/>
      <c r="CJ340" s="13"/>
    </row>
    <row r="341" spans="1:88" s="9" customFormat="1" x14ac:dyDescent="0.25">
      <c r="A341" s="10"/>
      <c r="B341" s="10"/>
      <c r="C341" s="10"/>
      <c r="D341" s="10"/>
      <c r="E341" s="11"/>
      <c r="F341" s="10"/>
      <c r="G341" s="10"/>
      <c r="H341" s="10"/>
      <c r="I341" s="10"/>
      <c r="J341" s="10"/>
      <c r="K341" s="12"/>
      <c r="L341" s="10"/>
      <c r="M341" s="10"/>
      <c r="N341" s="13"/>
      <c r="O341" s="10"/>
      <c r="P341" s="10"/>
      <c r="Q341" s="10"/>
      <c r="R341" s="18"/>
      <c r="S341" s="10"/>
      <c r="T341" s="10"/>
      <c r="U341" s="13"/>
      <c r="V341" s="13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3"/>
      <c r="AL341" s="14"/>
      <c r="AM341" s="15"/>
      <c r="AN341" s="15"/>
      <c r="AO341" s="13"/>
      <c r="AP341" s="13"/>
      <c r="AQ341" s="16"/>
      <c r="AR341" s="10"/>
      <c r="AS341" s="10"/>
      <c r="AT341" s="10"/>
      <c r="AU341" s="10"/>
      <c r="AV341" s="11"/>
      <c r="AW341" s="11"/>
      <c r="AX341" s="10"/>
      <c r="AY341" s="11"/>
      <c r="AZ341" s="11"/>
      <c r="BA341" s="11"/>
      <c r="BB341" s="10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  <c r="BM341" s="11"/>
      <c r="BN341" s="11"/>
      <c r="BO341" s="11"/>
      <c r="BP341" s="11"/>
      <c r="BQ341" s="11"/>
      <c r="BR341" s="11"/>
      <c r="BS341" s="11"/>
      <c r="BT341" s="11"/>
      <c r="BU341" s="11"/>
      <c r="BV341" s="11"/>
      <c r="BW341" s="11"/>
      <c r="BX341" s="11"/>
      <c r="BY341" s="11"/>
      <c r="BZ341" s="11"/>
      <c r="CA341" s="11"/>
      <c r="CB341" s="11"/>
      <c r="CC341" s="17"/>
      <c r="CD341" s="17"/>
      <c r="CE341" s="11"/>
      <c r="CF341" s="13"/>
      <c r="CG341" s="13"/>
      <c r="CH341" s="13"/>
      <c r="CI341" s="13"/>
      <c r="CJ341" s="13"/>
    </row>
    <row r="342" spans="1:88" s="9" customFormat="1" x14ac:dyDescent="0.25">
      <c r="A342" s="10"/>
      <c r="B342" s="10"/>
      <c r="C342" s="10"/>
      <c r="D342" s="10"/>
      <c r="E342" s="11"/>
      <c r="F342" s="10"/>
      <c r="G342" s="10"/>
      <c r="H342" s="10"/>
      <c r="I342" s="10"/>
      <c r="J342" s="10"/>
      <c r="K342" s="12"/>
      <c r="L342" s="10"/>
      <c r="M342" s="10"/>
      <c r="N342" s="13"/>
      <c r="O342" s="10"/>
      <c r="P342" s="10"/>
      <c r="Q342" s="10"/>
      <c r="R342" s="18"/>
      <c r="S342" s="10"/>
      <c r="T342" s="10"/>
      <c r="U342" s="13"/>
      <c r="V342" s="13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3"/>
      <c r="AL342" s="14"/>
      <c r="AM342" s="15"/>
      <c r="AN342" s="15"/>
      <c r="AO342" s="13"/>
      <c r="AP342" s="13"/>
      <c r="AQ342" s="16"/>
      <c r="AR342" s="10"/>
      <c r="AS342" s="10"/>
      <c r="AT342" s="10"/>
      <c r="AU342" s="10"/>
      <c r="AV342" s="11"/>
      <c r="AW342" s="11"/>
      <c r="AX342" s="10"/>
      <c r="AY342" s="11"/>
      <c r="AZ342" s="11"/>
      <c r="BA342" s="11"/>
      <c r="BB342" s="10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  <c r="BM342" s="11"/>
      <c r="BN342" s="11"/>
      <c r="BO342" s="11"/>
      <c r="BP342" s="11"/>
      <c r="BQ342" s="11"/>
      <c r="BR342" s="11"/>
      <c r="BS342" s="11"/>
      <c r="BT342" s="11"/>
      <c r="BU342" s="11"/>
      <c r="BV342" s="11"/>
      <c r="BW342" s="11"/>
      <c r="BX342" s="11"/>
      <c r="BY342" s="11"/>
      <c r="BZ342" s="11"/>
      <c r="CA342" s="11"/>
      <c r="CB342" s="11"/>
      <c r="CC342" s="17"/>
      <c r="CD342" s="17"/>
      <c r="CE342" s="11"/>
      <c r="CF342" s="13"/>
      <c r="CG342" s="13"/>
      <c r="CH342" s="13"/>
      <c r="CI342" s="13"/>
      <c r="CJ342" s="13"/>
    </row>
    <row r="343" spans="1:88" s="9" customFormat="1" x14ac:dyDescent="0.25">
      <c r="A343" s="10"/>
      <c r="B343" s="10"/>
      <c r="C343" s="10"/>
      <c r="D343" s="10"/>
      <c r="E343" s="11"/>
      <c r="F343" s="10"/>
      <c r="G343" s="10"/>
      <c r="H343" s="10"/>
      <c r="I343" s="10"/>
      <c r="J343" s="10"/>
      <c r="K343" s="12"/>
      <c r="L343" s="10"/>
      <c r="M343" s="10"/>
      <c r="N343" s="13"/>
      <c r="O343" s="10"/>
      <c r="P343" s="10"/>
      <c r="Q343" s="10"/>
      <c r="R343" s="18"/>
      <c r="S343" s="10"/>
      <c r="T343" s="10"/>
      <c r="U343" s="13"/>
      <c r="V343" s="13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3"/>
      <c r="AL343" s="14"/>
      <c r="AM343" s="15"/>
      <c r="AN343" s="15"/>
      <c r="AO343" s="13"/>
      <c r="AP343" s="13"/>
      <c r="AQ343" s="16"/>
      <c r="AR343" s="10"/>
      <c r="AS343" s="10"/>
      <c r="AT343" s="10"/>
      <c r="AU343" s="10"/>
      <c r="AV343" s="11"/>
      <c r="AW343" s="11"/>
      <c r="AX343" s="10"/>
      <c r="AY343" s="11"/>
      <c r="AZ343" s="11"/>
      <c r="BA343" s="11"/>
      <c r="BB343" s="10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  <c r="BM343" s="11"/>
      <c r="BN343" s="11"/>
      <c r="BO343" s="11"/>
      <c r="BP343" s="11"/>
      <c r="BQ343" s="11"/>
      <c r="BR343" s="11"/>
      <c r="BS343" s="11"/>
      <c r="BT343" s="11"/>
      <c r="BU343" s="11"/>
      <c r="BV343" s="11"/>
      <c r="BW343" s="11"/>
      <c r="BX343" s="11"/>
      <c r="BY343" s="11"/>
      <c r="BZ343" s="11"/>
      <c r="CA343" s="11"/>
      <c r="CB343" s="11"/>
      <c r="CC343" s="17"/>
      <c r="CD343" s="17"/>
      <c r="CE343" s="11"/>
      <c r="CF343" s="13"/>
      <c r="CG343" s="13"/>
      <c r="CH343" s="13"/>
      <c r="CI343" s="13"/>
      <c r="CJ343" s="13"/>
    </row>
    <row r="344" spans="1:88" s="9" customFormat="1" x14ac:dyDescent="0.25">
      <c r="A344" s="10"/>
      <c r="B344" s="10"/>
      <c r="C344" s="10"/>
      <c r="D344" s="10"/>
      <c r="E344" s="11"/>
      <c r="F344" s="10"/>
      <c r="G344" s="10"/>
      <c r="H344" s="10"/>
      <c r="I344" s="10"/>
      <c r="J344" s="10"/>
      <c r="K344" s="12"/>
      <c r="L344" s="10"/>
      <c r="M344" s="10"/>
      <c r="N344" s="13"/>
      <c r="O344" s="10"/>
      <c r="P344" s="10"/>
      <c r="Q344" s="10"/>
      <c r="R344" s="18"/>
      <c r="S344" s="10"/>
      <c r="T344" s="10"/>
      <c r="U344" s="13"/>
      <c r="V344" s="13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3"/>
      <c r="AL344" s="14"/>
      <c r="AM344" s="15"/>
      <c r="AN344" s="15"/>
      <c r="AO344" s="13"/>
      <c r="AP344" s="13"/>
      <c r="AQ344" s="16"/>
      <c r="AR344" s="10"/>
      <c r="AS344" s="10"/>
      <c r="AT344" s="10"/>
      <c r="AU344" s="10"/>
      <c r="AV344" s="11"/>
      <c r="AW344" s="11"/>
      <c r="AX344" s="10"/>
      <c r="AY344" s="11"/>
      <c r="AZ344" s="11"/>
      <c r="BA344" s="11"/>
      <c r="BB344" s="10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  <c r="BM344" s="11"/>
      <c r="BN344" s="11"/>
      <c r="BO344" s="11"/>
      <c r="BP344" s="11"/>
      <c r="BQ344" s="11"/>
      <c r="BR344" s="11"/>
      <c r="BS344" s="11"/>
      <c r="BT344" s="11"/>
      <c r="BU344" s="11"/>
      <c r="BV344" s="11"/>
      <c r="BW344" s="11"/>
      <c r="BX344" s="11"/>
      <c r="BY344" s="11"/>
      <c r="BZ344" s="11"/>
      <c r="CA344" s="11"/>
      <c r="CB344" s="11"/>
      <c r="CC344" s="17"/>
      <c r="CD344" s="17"/>
      <c r="CE344" s="11"/>
      <c r="CF344" s="13"/>
      <c r="CG344" s="13"/>
      <c r="CH344" s="13"/>
      <c r="CI344" s="13"/>
      <c r="CJ344" s="13"/>
    </row>
    <row r="345" spans="1:88" s="9" customFormat="1" x14ac:dyDescent="0.25">
      <c r="A345" s="10"/>
      <c r="B345" s="10"/>
      <c r="C345" s="10"/>
      <c r="D345" s="10"/>
      <c r="E345" s="11"/>
      <c r="F345" s="10"/>
      <c r="G345" s="10"/>
      <c r="H345" s="10"/>
      <c r="I345" s="10"/>
      <c r="J345" s="10"/>
      <c r="K345" s="12"/>
      <c r="L345" s="10"/>
      <c r="M345" s="10"/>
      <c r="N345" s="13"/>
      <c r="O345" s="10"/>
      <c r="P345" s="10"/>
      <c r="Q345" s="10"/>
      <c r="R345" s="18"/>
      <c r="S345" s="10"/>
      <c r="T345" s="10"/>
      <c r="U345" s="13"/>
      <c r="V345" s="13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3"/>
      <c r="AL345" s="14"/>
      <c r="AM345" s="15"/>
      <c r="AN345" s="15"/>
      <c r="AO345" s="13"/>
      <c r="AP345" s="13"/>
      <c r="AQ345" s="16"/>
      <c r="AR345" s="10"/>
      <c r="AS345" s="10"/>
      <c r="AT345" s="10"/>
      <c r="AU345" s="10"/>
      <c r="AV345" s="11"/>
      <c r="AW345" s="11"/>
      <c r="AX345" s="10"/>
      <c r="AY345" s="11"/>
      <c r="AZ345" s="11"/>
      <c r="BA345" s="11"/>
      <c r="BB345" s="10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  <c r="BM345" s="11"/>
      <c r="BN345" s="11"/>
      <c r="BO345" s="11"/>
      <c r="BP345" s="11"/>
      <c r="BQ345" s="11"/>
      <c r="BR345" s="11"/>
      <c r="BS345" s="11"/>
      <c r="BT345" s="11"/>
      <c r="BU345" s="11"/>
      <c r="BV345" s="11"/>
      <c r="BW345" s="11"/>
      <c r="BX345" s="11"/>
      <c r="BY345" s="11"/>
      <c r="BZ345" s="11"/>
      <c r="CA345" s="11"/>
      <c r="CB345" s="11"/>
      <c r="CC345" s="17"/>
      <c r="CD345" s="17"/>
      <c r="CE345" s="11"/>
      <c r="CF345" s="13"/>
      <c r="CG345" s="13"/>
      <c r="CH345" s="13"/>
      <c r="CI345" s="13"/>
      <c r="CJ345" s="13"/>
    </row>
    <row r="346" spans="1:88" s="9" customFormat="1" x14ac:dyDescent="0.25">
      <c r="A346" s="10"/>
      <c r="B346" s="10"/>
      <c r="C346" s="10"/>
      <c r="D346" s="10"/>
      <c r="E346" s="11"/>
      <c r="F346" s="10"/>
      <c r="G346" s="10"/>
      <c r="H346" s="10"/>
      <c r="I346" s="10"/>
      <c r="J346" s="10"/>
      <c r="K346" s="12"/>
      <c r="L346" s="10"/>
      <c r="M346" s="10"/>
      <c r="N346" s="13"/>
      <c r="O346" s="10"/>
      <c r="P346" s="10"/>
      <c r="Q346" s="10"/>
      <c r="R346" s="18"/>
      <c r="S346" s="10"/>
      <c r="T346" s="10"/>
      <c r="U346" s="13"/>
      <c r="V346" s="13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3"/>
      <c r="AL346" s="14"/>
      <c r="AM346" s="15"/>
      <c r="AN346" s="15"/>
      <c r="AO346" s="13"/>
      <c r="AP346" s="13"/>
      <c r="AQ346" s="16"/>
      <c r="AR346" s="10"/>
      <c r="AS346" s="10"/>
      <c r="AT346" s="10"/>
      <c r="AU346" s="10"/>
      <c r="AV346" s="11"/>
      <c r="AW346" s="11"/>
      <c r="AX346" s="10"/>
      <c r="AY346" s="11"/>
      <c r="AZ346" s="11"/>
      <c r="BA346" s="11"/>
      <c r="BB346" s="10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  <c r="BM346" s="11"/>
      <c r="BN346" s="11"/>
      <c r="BO346" s="11"/>
      <c r="BP346" s="11"/>
      <c r="BQ346" s="11"/>
      <c r="BR346" s="11"/>
      <c r="BS346" s="11"/>
      <c r="BT346" s="11"/>
      <c r="BU346" s="11"/>
      <c r="BV346" s="11"/>
      <c r="BW346" s="11"/>
      <c r="BX346" s="11"/>
      <c r="BY346" s="11"/>
      <c r="BZ346" s="11"/>
      <c r="CA346" s="11"/>
      <c r="CB346" s="11"/>
      <c r="CC346" s="17"/>
      <c r="CD346" s="17"/>
      <c r="CE346" s="11"/>
      <c r="CF346" s="13"/>
      <c r="CG346" s="13"/>
      <c r="CH346" s="13"/>
      <c r="CI346" s="13"/>
      <c r="CJ346" s="13"/>
    </row>
    <row r="347" spans="1:88" s="9" customFormat="1" x14ac:dyDescent="0.25">
      <c r="A347" s="10"/>
      <c r="B347" s="10"/>
      <c r="C347" s="10"/>
      <c r="D347" s="10"/>
      <c r="E347" s="11"/>
      <c r="F347" s="10"/>
      <c r="G347" s="10"/>
      <c r="H347" s="10"/>
      <c r="I347" s="10"/>
      <c r="J347" s="10"/>
      <c r="K347" s="12"/>
      <c r="L347" s="10"/>
      <c r="M347" s="10"/>
      <c r="N347" s="13"/>
      <c r="O347" s="10"/>
      <c r="P347" s="10"/>
      <c r="Q347" s="10"/>
      <c r="R347" s="18"/>
      <c r="S347" s="10"/>
      <c r="T347" s="10"/>
      <c r="U347" s="13"/>
      <c r="V347" s="13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3"/>
      <c r="AL347" s="14"/>
      <c r="AM347" s="15"/>
      <c r="AN347" s="15"/>
      <c r="AO347" s="13"/>
      <c r="AP347" s="13"/>
      <c r="AQ347" s="16"/>
      <c r="AR347" s="10"/>
      <c r="AS347" s="10"/>
      <c r="AT347" s="10"/>
      <c r="AU347" s="10"/>
      <c r="AV347" s="11"/>
      <c r="AW347" s="11"/>
      <c r="AX347" s="10"/>
      <c r="AY347" s="11"/>
      <c r="AZ347" s="11"/>
      <c r="BA347" s="11"/>
      <c r="BB347" s="10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  <c r="BM347" s="11"/>
      <c r="BN347" s="11"/>
      <c r="BO347" s="11"/>
      <c r="BP347" s="11"/>
      <c r="BQ347" s="11"/>
      <c r="BR347" s="11"/>
      <c r="BS347" s="11"/>
      <c r="BT347" s="11"/>
      <c r="BU347" s="11"/>
      <c r="BV347" s="11"/>
      <c r="BW347" s="11"/>
      <c r="BX347" s="11"/>
      <c r="BY347" s="11"/>
      <c r="BZ347" s="11"/>
      <c r="CA347" s="11"/>
      <c r="CB347" s="11"/>
      <c r="CC347" s="17"/>
      <c r="CD347" s="17"/>
      <c r="CE347" s="11"/>
      <c r="CF347" s="13"/>
      <c r="CG347" s="13"/>
      <c r="CH347" s="13"/>
      <c r="CI347" s="13"/>
      <c r="CJ347" s="13"/>
    </row>
    <row r="348" spans="1:88" s="9" customFormat="1" x14ac:dyDescent="0.25">
      <c r="A348" s="10"/>
      <c r="B348" s="10"/>
      <c r="C348" s="10"/>
      <c r="D348" s="10"/>
      <c r="E348" s="11"/>
      <c r="F348" s="10"/>
      <c r="G348" s="10"/>
      <c r="H348" s="10"/>
      <c r="I348" s="10"/>
      <c r="J348" s="10"/>
      <c r="K348" s="12"/>
      <c r="L348" s="10"/>
      <c r="M348" s="10"/>
      <c r="N348" s="13"/>
      <c r="O348" s="10"/>
      <c r="P348" s="10"/>
      <c r="Q348" s="10"/>
      <c r="R348" s="18"/>
      <c r="S348" s="10"/>
      <c r="T348" s="10"/>
      <c r="U348" s="13"/>
      <c r="V348" s="13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3"/>
      <c r="AL348" s="14"/>
      <c r="AM348" s="15"/>
      <c r="AN348" s="15"/>
      <c r="AO348" s="13"/>
      <c r="AP348" s="13"/>
      <c r="AQ348" s="16"/>
      <c r="AR348" s="10"/>
      <c r="AS348" s="10"/>
      <c r="AT348" s="10"/>
      <c r="AU348" s="10"/>
      <c r="AV348" s="11"/>
      <c r="AW348" s="11"/>
      <c r="AX348" s="10"/>
      <c r="AY348" s="11"/>
      <c r="AZ348" s="11"/>
      <c r="BA348" s="11"/>
      <c r="BB348" s="10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  <c r="BM348" s="11"/>
      <c r="BN348" s="11"/>
      <c r="BO348" s="11"/>
      <c r="BP348" s="11"/>
      <c r="BQ348" s="11"/>
      <c r="BR348" s="11"/>
      <c r="BS348" s="11"/>
      <c r="BT348" s="11"/>
      <c r="BU348" s="11"/>
      <c r="BV348" s="11"/>
      <c r="BW348" s="11"/>
      <c r="BX348" s="11"/>
      <c r="BY348" s="11"/>
      <c r="BZ348" s="11"/>
      <c r="CA348" s="11"/>
      <c r="CB348" s="11"/>
      <c r="CC348" s="17"/>
      <c r="CD348" s="17"/>
      <c r="CE348" s="11"/>
      <c r="CF348" s="13"/>
      <c r="CG348" s="13"/>
      <c r="CH348" s="13"/>
      <c r="CI348" s="13"/>
      <c r="CJ348" s="13"/>
    </row>
    <row r="349" spans="1:88" s="9" customFormat="1" x14ac:dyDescent="0.25">
      <c r="A349" s="10"/>
      <c r="B349" s="10"/>
      <c r="C349" s="10"/>
      <c r="D349" s="10"/>
      <c r="E349" s="11"/>
      <c r="F349" s="10"/>
      <c r="G349" s="10"/>
      <c r="H349" s="10"/>
      <c r="I349" s="10"/>
      <c r="J349" s="10"/>
      <c r="K349" s="12"/>
      <c r="L349" s="10"/>
      <c r="M349" s="10"/>
      <c r="N349" s="13"/>
      <c r="O349" s="10"/>
      <c r="P349" s="10"/>
      <c r="Q349" s="10"/>
      <c r="R349" s="18"/>
      <c r="S349" s="10"/>
      <c r="T349" s="10"/>
      <c r="U349" s="13"/>
      <c r="V349" s="13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3"/>
      <c r="AL349" s="14"/>
      <c r="AM349" s="15"/>
      <c r="AN349" s="15"/>
      <c r="AO349" s="13"/>
      <c r="AP349" s="13"/>
      <c r="AQ349" s="16"/>
      <c r="AR349" s="10"/>
      <c r="AS349" s="10"/>
      <c r="AT349" s="10"/>
      <c r="AU349" s="10"/>
      <c r="AV349" s="11"/>
      <c r="AW349" s="11"/>
      <c r="AX349" s="10"/>
      <c r="AY349" s="11"/>
      <c r="AZ349" s="11"/>
      <c r="BA349" s="11"/>
      <c r="BB349" s="10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  <c r="BM349" s="11"/>
      <c r="BN349" s="11"/>
      <c r="BO349" s="11"/>
      <c r="BP349" s="11"/>
      <c r="BQ349" s="11"/>
      <c r="BR349" s="11"/>
      <c r="BS349" s="11"/>
      <c r="BT349" s="11"/>
      <c r="BU349" s="11"/>
      <c r="BV349" s="11"/>
      <c r="BW349" s="11"/>
      <c r="BX349" s="11"/>
      <c r="BY349" s="11"/>
      <c r="BZ349" s="11"/>
      <c r="CA349" s="11"/>
      <c r="CB349" s="11"/>
      <c r="CC349" s="17"/>
      <c r="CD349" s="17"/>
      <c r="CE349" s="11"/>
      <c r="CF349" s="13"/>
      <c r="CG349" s="13"/>
      <c r="CH349" s="13"/>
      <c r="CI349" s="13"/>
      <c r="CJ349" s="13"/>
    </row>
    <row r="350" spans="1:88" s="9" customFormat="1" x14ac:dyDescent="0.25">
      <c r="A350" s="10"/>
      <c r="B350" s="10"/>
      <c r="C350" s="10"/>
      <c r="D350" s="10"/>
      <c r="E350" s="11"/>
      <c r="F350" s="10"/>
      <c r="G350" s="10"/>
      <c r="H350" s="10"/>
      <c r="I350" s="10"/>
      <c r="J350" s="10"/>
      <c r="K350" s="12"/>
      <c r="L350" s="10"/>
      <c r="M350" s="10"/>
      <c r="N350" s="13"/>
      <c r="O350" s="10"/>
      <c r="P350" s="10"/>
      <c r="Q350" s="10"/>
      <c r="R350" s="18"/>
      <c r="S350" s="10"/>
      <c r="T350" s="10"/>
      <c r="U350" s="13"/>
      <c r="V350" s="13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3"/>
      <c r="AL350" s="14"/>
      <c r="AM350" s="15"/>
      <c r="AN350" s="15"/>
      <c r="AO350" s="13"/>
      <c r="AP350" s="13"/>
      <c r="AQ350" s="16"/>
      <c r="AR350" s="10"/>
      <c r="AS350" s="10"/>
      <c r="AT350" s="10"/>
      <c r="AU350" s="10"/>
      <c r="AV350" s="11"/>
      <c r="AW350" s="11"/>
      <c r="AX350" s="10"/>
      <c r="AY350" s="11"/>
      <c r="AZ350" s="11"/>
      <c r="BA350" s="11"/>
      <c r="BB350" s="10"/>
      <c r="BC350" s="11"/>
      <c r="BD350" s="11"/>
      <c r="BE350" s="11"/>
      <c r="BF350" s="11"/>
      <c r="BG350" s="11"/>
      <c r="BH350" s="11"/>
      <c r="BI350" s="11"/>
      <c r="BJ350" s="11"/>
      <c r="BK350" s="11"/>
      <c r="BL350" s="11"/>
      <c r="BM350" s="11"/>
      <c r="BN350" s="11"/>
      <c r="BO350" s="11"/>
      <c r="BP350" s="11"/>
      <c r="BQ350" s="11"/>
      <c r="BR350" s="11"/>
      <c r="BS350" s="11"/>
      <c r="BT350" s="11"/>
      <c r="BU350" s="11"/>
      <c r="BV350" s="11"/>
      <c r="BW350" s="11"/>
      <c r="BX350" s="11"/>
      <c r="BY350" s="11"/>
      <c r="BZ350" s="11"/>
      <c r="CA350" s="11"/>
      <c r="CB350" s="11"/>
      <c r="CC350" s="17"/>
      <c r="CD350" s="17"/>
      <c r="CE350" s="11"/>
      <c r="CF350" s="13"/>
      <c r="CG350" s="13"/>
      <c r="CH350" s="13"/>
      <c r="CI350" s="13"/>
      <c r="CJ350" s="13"/>
    </row>
    <row r="351" spans="1:88" s="9" customFormat="1" x14ac:dyDescent="0.25">
      <c r="A351" s="10"/>
      <c r="B351" s="10"/>
      <c r="C351" s="10"/>
      <c r="D351" s="10"/>
      <c r="E351" s="11"/>
      <c r="F351" s="10"/>
      <c r="G351" s="10"/>
      <c r="H351" s="10"/>
      <c r="I351" s="10"/>
      <c r="J351" s="10"/>
      <c r="K351" s="12"/>
      <c r="L351" s="10"/>
      <c r="M351" s="10"/>
      <c r="N351" s="13"/>
      <c r="O351" s="10"/>
      <c r="P351" s="10"/>
      <c r="Q351" s="10"/>
      <c r="R351" s="18"/>
      <c r="S351" s="10"/>
      <c r="T351" s="10"/>
      <c r="U351" s="13"/>
      <c r="V351" s="13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3"/>
      <c r="AL351" s="14"/>
      <c r="AM351" s="15"/>
      <c r="AN351" s="15"/>
      <c r="AO351" s="13"/>
      <c r="AP351" s="13"/>
      <c r="AQ351" s="16"/>
      <c r="AR351" s="10"/>
      <c r="AS351" s="10"/>
      <c r="AT351" s="10"/>
      <c r="AU351" s="10"/>
      <c r="AV351" s="11"/>
      <c r="AW351" s="11"/>
      <c r="AX351" s="10"/>
      <c r="AY351" s="11"/>
      <c r="AZ351" s="11"/>
      <c r="BA351" s="11"/>
      <c r="BB351" s="10"/>
      <c r="BC351" s="11"/>
      <c r="BD351" s="11"/>
      <c r="BE351" s="11"/>
      <c r="BF351" s="11"/>
      <c r="BG351" s="11"/>
      <c r="BH351" s="11"/>
      <c r="BI351" s="11"/>
      <c r="BJ351" s="11"/>
      <c r="BK351" s="11"/>
      <c r="BL351" s="11"/>
      <c r="BM351" s="11"/>
      <c r="BN351" s="11"/>
      <c r="BO351" s="11"/>
      <c r="BP351" s="11"/>
      <c r="BQ351" s="11"/>
      <c r="BR351" s="11"/>
      <c r="BS351" s="11"/>
      <c r="BT351" s="11"/>
      <c r="BU351" s="11"/>
      <c r="BV351" s="11"/>
      <c r="BW351" s="11"/>
      <c r="BX351" s="11"/>
      <c r="BY351" s="11"/>
      <c r="BZ351" s="11"/>
      <c r="CA351" s="11"/>
      <c r="CB351" s="11"/>
      <c r="CC351" s="17"/>
      <c r="CD351" s="17"/>
      <c r="CE351" s="11"/>
      <c r="CF351" s="13"/>
      <c r="CG351" s="13"/>
      <c r="CH351" s="13"/>
      <c r="CI351" s="13"/>
      <c r="CJ351" s="13"/>
    </row>
    <row r="352" spans="1:88" s="9" customFormat="1" x14ac:dyDescent="0.25">
      <c r="A352" s="10"/>
      <c r="B352" s="10"/>
      <c r="C352" s="10"/>
      <c r="D352" s="10"/>
      <c r="E352" s="11"/>
      <c r="F352" s="10"/>
      <c r="G352" s="10"/>
      <c r="H352" s="10"/>
      <c r="I352" s="10"/>
      <c r="J352" s="10"/>
      <c r="K352" s="12"/>
      <c r="L352" s="10"/>
      <c r="M352" s="10"/>
      <c r="N352" s="13"/>
      <c r="O352" s="10"/>
      <c r="P352" s="10"/>
      <c r="Q352" s="10"/>
      <c r="R352" s="18"/>
      <c r="S352" s="10"/>
      <c r="T352" s="10"/>
      <c r="U352" s="13"/>
      <c r="V352" s="13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3"/>
      <c r="AL352" s="14"/>
      <c r="AM352" s="15"/>
      <c r="AN352" s="15"/>
      <c r="AO352" s="13"/>
      <c r="AP352" s="13"/>
      <c r="AQ352" s="16"/>
      <c r="AR352" s="10"/>
      <c r="AS352" s="10"/>
      <c r="AT352" s="10"/>
      <c r="AU352" s="10"/>
      <c r="AV352" s="11"/>
      <c r="AW352" s="11"/>
      <c r="AX352" s="10"/>
      <c r="AY352" s="11"/>
      <c r="AZ352" s="11"/>
      <c r="BA352" s="11"/>
      <c r="BB352" s="10"/>
      <c r="BC352" s="11"/>
      <c r="BD352" s="11"/>
      <c r="BE352" s="11"/>
      <c r="BF352" s="11"/>
      <c r="BG352" s="11"/>
      <c r="BH352" s="11"/>
      <c r="BI352" s="11"/>
      <c r="BJ352" s="11"/>
      <c r="BK352" s="11"/>
      <c r="BL352" s="11"/>
      <c r="BM352" s="11"/>
      <c r="BN352" s="11"/>
      <c r="BO352" s="11"/>
      <c r="BP352" s="11"/>
      <c r="BQ352" s="11"/>
      <c r="BR352" s="11"/>
      <c r="BS352" s="11"/>
      <c r="BT352" s="11"/>
      <c r="BU352" s="11"/>
      <c r="BV352" s="11"/>
      <c r="BW352" s="11"/>
      <c r="BX352" s="11"/>
      <c r="BY352" s="11"/>
      <c r="BZ352" s="11"/>
      <c r="CA352" s="11"/>
      <c r="CB352" s="11"/>
      <c r="CC352" s="17"/>
      <c r="CD352" s="17"/>
      <c r="CE352" s="11"/>
      <c r="CF352" s="13"/>
      <c r="CG352" s="13"/>
      <c r="CH352" s="13"/>
      <c r="CI352" s="13"/>
      <c r="CJ352" s="13"/>
    </row>
    <row r="353" spans="1:88" s="9" customFormat="1" x14ac:dyDescent="0.25">
      <c r="A353" s="10"/>
      <c r="B353" s="10"/>
      <c r="C353" s="10"/>
      <c r="D353" s="10"/>
      <c r="E353" s="11"/>
      <c r="F353" s="10"/>
      <c r="G353" s="10"/>
      <c r="H353" s="10"/>
      <c r="I353" s="10"/>
      <c r="J353" s="10"/>
      <c r="K353" s="12"/>
      <c r="L353" s="10"/>
      <c r="M353" s="10"/>
      <c r="N353" s="13"/>
      <c r="O353" s="10"/>
      <c r="P353" s="10"/>
      <c r="Q353" s="10"/>
      <c r="R353" s="18"/>
      <c r="S353" s="10"/>
      <c r="T353" s="10"/>
      <c r="U353" s="13"/>
      <c r="V353" s="13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3"/>
      <c r="AL353" s="14"/>
      <c r="AM353" s="15"/>
      <c r="AN353" s="15"/>
      <c r="AO353" s="13"/>
      <c r="AP353" s="13"/>
      <c r="AQ353" s="16"/>
      <c r="AR353" s="10"/>
      <c r="AS353" s="10"/>
      <c r="AT353" s="10"/>
      <c r="AU353" s="10"/>
      <c r="AV353" s="11"/>
      <c r="AW353" s="11"/>
      <c r="AX353" s="10"/>
      <c r="AY353" s="11"/>
      <c r="AZ353" s="11"/>
      <c r="BA353" s="11"/>
      <c r="BB353" s="10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  <c r="BN353" s="11"/>
      <c r="BO353" s="11"/>
      <c r="BP353" s="11"/>
      <c r="BQ353" s="11"/>
      <c r="BR353" s="11"/>
      <c r="BS353" s="11"/>
      <c r="BT353" s="11"/>
      <c r="BU353" s="11"/>
      <c r="BV353" s="11"/>
      <c r="BW353" s="11"/>
      <c r="BX353" s="11"/>
      <c r="BY353" s="11"/>
      <c r="BZ353" s="11"/>
      <c r="CA353" s="11"/>
      <c r="CB353" s="11"/>
      <c r="CC353" s="17"/>
      <c r="CD353" s="17"/>
      <c r="CE353" s="11"/>
      <c r="CF353" s="13"/>
      <c r="CG353" s="13"/>
      <c r="CH353" s="13"/>
      <c r="CI353" s="13"/>
      <c r="CJ353" s="13"/>
    </row>
    <row r="354" spans="1:88" s="9" customFormat="1" x14ac:dyDescent="0.25">
      <c r="A354" s="10"/>
      <c r="B354" s="10"/>
      <c r="C354" s="10"/>
      <c r="D354" s="10"/>
      <c r="E354" s="11"/>
      <c r="F354" s="10"/>
      <c r="G354" s="10"/>
      <c r="H354" s="10"/>
      <c r="I354" s="10"/>
      <c r="J354" s="10"/>
      <c r="K354" s="12"/>
      <c r="L354" s="10"/>
      <c r="M354" s="10"/>
      <c r="N354" s="13"/>
      <c r="O354" s="10"/>
      <c r="P354" s="10"/>
      <c r="Q354" s="10"/>
      <c r="R354" s="18"/>
      <c r="S354" s="10"/>
      <c r="T354" s="10"/>
      <c r="U354" s="13"/>
      <c r="V354" s="13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3"/>
      <c r="AL354" s="14"/>
      <c r="AM354" s="15"/>
      <c r="AN354" s="15"/>
      <c r="AO354" s="13"/>
      <c r="AP354" s="13"/>
      <c r="AQ354" s="16"/>
      <c r="AR354" s="10"/>
      <c r="AS354" s="10"/>
      <c r="AT354" s="10"/>
      <c r="AU354" s="10"/>
      <c r="AV354" s="11"/>
      <c r="AW354" s="11"/>
      <c r="AX354" s="10"/>
      <c r="AY354" s="11"/>
      <c r="AZ354" s="11"/>
      <c r="BA354" s="11"/>
      <c r="BB354" s="10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  <c r="BM354" s="11"/>
      <c r="BN354" s="11"/>
      <c r="BO354" s="11"/>
      <c r="BP354" s="11"/>
      <c r="BQ354" s="11"/>
      <c r="BR354" s="11"/>
      <c r="BS354" s="11"/>
      <c r="BT354" s="11"/>
      <c r="BU354" s="11"/>
      <c r="BV354" s="11"/>
      <c r="BW354" s="11"/>
      <c r="BX354" s="11"/>
      <c r="BY354" s="11"/>
      <c r="BZ354" s="11"/>
      <c r="CA354" s="11"/>
      <c r="CB354" s="11"/>
      <c r="CC354" s="17"/>
      <c r="CD354" s="17"/>
      <c r="CE354" s="11"/>
      <c r="CF354" s="13"/>
      <c r="CG354" s="13"/>
      <c r="CH354" s="13"/>
      <c r="CI354" s="13"/>
      <c r="CJ354" s="13"/>
    </row>
    <row r="355" spans="1:88" s="9" customFormat="1" x14ac:dyDescent="0.25">
      <c r="A355" s="10"/>
      <c r="B355" s="10"/>
      <c r="C355" s="10"/>
      <c r="D355" s="10"/>
      <c r="E355" s="11"/>
      <c r="F355" s="10"/>
      <c r="G355" s="10"/>
      <c r="H355" s="10"/>
      <c r="I355" s="10"/>
      <c r="J355" s="10"/>
      <c r="K355" s="12"/>
      <c r="L355" s="10"/>
      <c r="M355" s="10"/>
      <c r="N355" s="13"/>
      <c r="O355" s="10"/>
      <c r="P355" s="10"/>
      <c r="Q355" s="10"/>
      <c r="R355" s="18"/>
      <c r="S355" s="10"/>
      <c r="T355" s="10"/>
      <c r="U355" s="13"/>
      <c r="V355" s="13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3"/>
      <c r="AL355" s="14"/>
      <c r="AM355" s="15"/>
      <c r="AN355" s="15"/>
      <c r="AO355" s="13"/>
      <c r="AP355" s="13"/>
      <c r="AQ355" s="16"/>
      <c r="AR355" s="10"/>
      <c r="AS355" s="10"/>
      <c r="AT355" s="10"/>
      <c r="AU355" s="10"/>
      <c r="AV355" s="11"/>
      <c r="AW355" s="11"/>
      <c r="AX355" s="10"/>
      <c r="AY355" s="11"/>
      <c r="AZ355" s="11"/>
      <c r="BA355" s="11"/>
      <c r="BB355" s="10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  <c r="BN355" s="11"/>
      <c r="BO355" s="11"/>
      <c r="BP355" s="11"/>
      <c r="BQ355" s="11"/>
      <c r="BR355" s="11"/>
      <c r="BS355" s="11"/>
      <c r="BT355" s="11"/>
      <c r="BU355" s="11"/>
      <c r="BV355" s="11"/>
      <c r="BW355" s="11"/>
      <c r="BX355" s="11"/>
      <c r="BY355" s="11"/>
      <c r="BZ355" s="11"/>
      <c r="CA355" s="11"/>
      <c r="CB355" s="11"/>
      <c r="CC355" s="17"/>
      <c r="CD355" s="17"/>
      <c r="CE355" s="11"/>
      <c r="CF355" s="13"/>
      <c r="CG355" s="13"/>
      <c r="CH355" s="13"/>
      <c r="CI355" s="13"/>
      <c r="CJ355" s="13"/>
    </row>
    <row r="356" spans="1:88" s="9" customFormat="1" x14ac:dyDescent="0.25">
      <c r="A356" s="10"/>
      <c r="B356" s="10"/>
      <c r="C356" s="10"/>
      <c r="D356" s="10"/>
      <c r="E356" s="11"/>
      <c r="F356" s="10"/>
      <c r="G356" s="10"/>
      <c r="H356" s="10"/>
      <c r="I356" s="10"/>
      <c r="J356" s="10"/>
      <c r="K356" s="12"/>
      <c r="L356" s="10"/>
      <c r="M356" s="10"/>
      <c r="N356" s="13"/>
      <c r="O356" s="10"/>
      <c r="P356" s="10"/>
      <c r="Q356" s="10"/>
      <c r="R356" s="18"/>
      <c r="S356" s="10"/>
      <c r="T356" s="10"/>
      <c r="U356" s="13"/>
      <c r="V356" s="13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3"/>
      <c r="AL356" s="14"/>
      <c r="AM356" s="15"/>
      <c r="AN356" s="15"/>
      <c r="AO356" s="13"/>
      <c r="AP356" s="13"/>
      <c r="AQ356" s="16"/>
      <c r="AR356" s="10"/>
      <c r="AS356" s="10"/>
      <c r="AT356" s="10"/>
      <c r="AU356" s="10"/>
      <c r="AV356" s="11"/>
      <c r="AW356" s="11"/>
      <c r="AX356" s="10"/>
      <c r="AY356" s="11"/>
      <c r="AZ356" s="11"/>
      <c r="BA356" s="11"/>
      <c r="BB356" s="10"/>
      <c r="BC356" s="11"/>
      <c r="BD356" s="11"/>
      <c r="BE356" s="11"/>
      <c r="BF356" s="11"/>
      <c r="BG356" s="11"/>
      <c r="BH356" s="11"/>
      <c r="BI356" s="11"/>
      <c r="BJ356" s="11"/>
      <c r="BK356" s="11"/>
      <c r="BL356" s="11"/>
      <c r="BM356" s="11"/>
      <c r="BN356" s="11"/>
      <c r="BO356" s="11"/>
      <c r="BP356" s="11"/>
      <c r="BQ356" s="11"/>
      <c r="BR356" s="11"/>
      <c r="BS356" s="11"/>
      <c r="BT356" s="11"/>
      <c r="BU356" s="11"/>
      <c r="BV356" s="11"/>
      <c r="BW356" s="11"/>
      <c r="BX356" s="11"/>
      <c r="BY356" s="11"/>
      <c r="BZ356" s="11"/>
      <c r="CA356" s="11"/>
      <c r="CB356" s="11"/>
      <c r="CC356" s="17"/>
      <c r="CD356" s="17"/>
      <c r="CE356" s="11"/>
      <c r="CF356" s="13"/>
      <c r="CG356" s="13"/>
      <c r="CH356" s="13"/>
      <c r="CI356" s="13"/>
      <c r="CJ356" s="13"/>
    </row>
    <row r="357" spans="1:88" s="9" customFormat="1" x14ac:dyDescent="0.25">
      <c r="A357" s="10"/>
      <c r="B357" s="10"/>
      <c r="C357" s="10"/>
      <c r="D357" s="10"/>
      <c r="E357" s="11"/>
      <c r="F357" s="10"/>
      <c r="G357" s="10"/>
      <c r="H357" s="10"/>
      <c r="I357" s="10"/>
      <c r="J357" s="10"/>
      <c r="K357" s="12"/>
      <c r="L357" s="10"/>
      <c r="M357" s="10"/>
      <c r="N357" s="13"/>
      <c r="O357" s="10"/>
      <c r="P357" s="10"/>
      <c r="Q357" s="10"/>
      <c r="R357" s="18"/>
      <c r="S357" s="10"/>
      <c r="T357" s="10"/>
      <c r="U357" s="13"/>
      <c r="V357" s="13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3"/>
      <c r="AL357" s="14"/>
      <c r="AM357" s="15"/>
      <c r="AN357" s="15"/>
      <c r="AO357" s="13"/>
      <c r="AP357" s="13"/>
      <c r="AQ357" s="16"/>
      <c r="AR357" s="10"/>
      <c r="AS357" s="10"/>
      <c r="AT357" s="10"/>
      <c r="AU357" s="10"/>
      <c r="AV357" s="11"/>
      <c r="AW357" s="11"/>
      <c r="AX357" s="10"/>
      <c r="AY357" s="11"/>
      <c r="AZ357" s="11"/>
      <c r="BA357" s="11"/>
      <c r="BB357" s="10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11"/>
      <c r="BQ357" s="11"/>
      <c r="BR357" s="11"/>
      <c r="BS357" s="11"/>
      <c r="BT357" s="11"/>
      <c r="BU357" s="11"/>
      <c r="BV357" s="11"/>
      <c r="BW357" s="11"/>
      <c r="BX357" s="11"/>
      <c r="BY357" s="11"/>
      <c r="BZ357" s="11"/>
      <c r="CA357" s="11"/>
      <c r="CB357" s="11"/>
      <c r="CC357" s="17"/>
      <c r="CD357" s="17"/>
      <c r="CE357" s="11"/>
      <c r="CF357" s="13"/>
      <c r="CG357" s="13"/>
      <c r="CH357" s="13"/>
      <c r="CI357" s="13"/>
      <c r="CJ357" s="13"/>
    </row>
    <row r="358" spans="1:88" s="9" customFormat="1" x14ac:dyDescent="0.25">
      <c r="A358" s="10"/>
      <c r="B358" s="10"/>
      <c r="C358" s="10"/>
      <c r="D358" s="10"/>
      <c r="E358" s="11"/>
      <c r="F358" s="10"/>
      <c r="G358" s="10"/>
      <c r="H358" s="10"/>
      <c r="I358" s="10"/>
      <c r="J358" s="10"/>
      <c r="K358" s="12"/>
      <c r="L358" s="10"/>
      <c r="M358" s="10"/>
      <c r="N358" s="13"/>
      <c r="O358" s="10"/>
      <c r="P358" s="10"/>
      <c r="Q358" s="10"/>
      <c r="R358" s="18"/>
      <c r="S358" s="10"/>
      <c r="T358" s="10"/>
      <c r="U358" s="13"/>
      <c r="V358" s="13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3"/>
      <c r="AL358" s="14"/>
      <c r="AM358" s="15"/>
      <c r="AN358" s="15"/>
      <c r="AO358" s="13"/>
      <c r="AP358" s="13"/>
      <c r="AQ358" s="16"/>
      <c r="AR358" s="10"/>
      <c r="AS358" s="10"/>
      <c r="AT358" s="10"/>
      <c r="AU358" s="10"/>
      <c r="AV358" s="11"/>
      <c r="AW358" s="11"/>
      <c r="AX358" s="10"/>
      <c r="AY358" s="11"/>
      <c r="AZ358" s="11"/>
      <c r="BA358" s="11"/>
      <c r="BB358" s="10"/>
      <c r="BC358" s="11"/>
      <c r="BD358" s="11"/>
      <c r="BE358" s="11"/>
      <c r="BF358" s="11"/>
      <c r="BG358" s="11"/>
      <c r="BH358" s="11"/>
      <c r="BI358" s="11"/>
      <c r="BJ358" s="11"/>
      <c r="BK358" s="11"/>
      <c r="BL358" s="11"/>
      <c r="BM358" s="11"/>
      <c r="BN358" s="11"/>
      <c r="BO358" s="11"/>
      <c r="BP358" s="11"/>
      <c r="BQ358" s="11"/>
      <c r="BR358" s="11"/>
      <c r="BS358" s="11"/>
      <c r="BT358" s="11"/>
      <c r="BU358" s="11"/>
      <c r="BV358" s="11"/>
      <c r="BW358" s="11"/>
      <c r="BX358" s="11"/>
      <c r="BY358" s="11"/>
      <c r="BZ358" s="11"/>
      <c r="CA358" s="11"/>
      <c r="CB358" s="11"/>
      <c r="CC358" s="17"/>
      <c r="CD358" s="17"/>
      <c r="CE358" s="11"/>
      <c r="CF358" s="13"/>
      <c r="CG358" s="13"/>
      <c r="CH358" s="13"/>
      <c r="CI358" s="13"/>
      <c r="CJ358" s="13"/>
    </row>
    <row r="359" spans="1:88" s="9" customFormat="1" x14ac:dyDescent="0.25">
      <c r="A359" s="10"/>
      <c r="B359" s="10"/>
      <c r="C359" s="10"/>
      <c r="D359" s="10"/>
      <c r="E359" s="11"/>
      <c r="F359" s="10"/>
      <c r="G359" s="10"/>
      <c r="H359" s="10"/>
      <c r="I359" s="10"/>
      <c r="J359" s="10"/>
      <c r="K359" s="12"/>
      <c r="L359" s="10"/>
      <c r="M359" s="10"/>
      <c r="N359" s="13"/>
      <c r="O359" s="10"/>
      <c r="P359" s="10"/>
      <c r="Q359" s="10"/>
      <c r="R359" s="18"/>
      <c r="S359" s="10"/>
      <c r="T359" s="10"/>
      <c r="U359" s="13"/>
      <c r="V359" s="13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3"/>
      <c r="AL359" s="14"/>
      <c r="AM359" s="15"/>
      <c r="AN359" s="15"/>
      <c r="AO359" s="13"/>
      <c r="AP359" s="13"/>
      <c r="AQ359" s="16"/>
      <c r="AR359" s="10"/>
      <c r="AS359" s="10"/>
      <c r="AT359" s="10"/>
      <c r="AU359" s="10"/>
      <c r="AV359" s="11"/>
      <c r="AW359" s="11"/>
      <c r="AX359" s="10"/>
      <c r="AY359" s="11"/>
      <c r="AZ359" s="11"/>
      <c r="BA359" s="11"/>
      <c r="BB359" s="10"/>
      <c r="BC359" s="11"/>
      <c r="BD359" s="11"/>
      <c r="BE359" s="11"/>
      <c r="BF359" s="11"/>
      <c r="BG359" s="11"/>
      <c r="BH359" s="11"/>
      <c r="BI359" s="11"/>
      <c r="BJ359" s="11"/>
      <c r="BK359" s="11"/>
      <c r="BL359" s="11"/>
      <c r="BM359" s="11"/>
      <c r="BN359" s="11"/>
      <c r="BO359" s="11"/>
      <c r="BP359" s="11"/>
      <c r="BQ359" s="11"/>
      <c r="BR359" s="11"/>
      <c r="BS359" s="11"/>
      <c r="BT359" s="11"/>
      <c r="BU359" s="11"/>
      <c r="BV359" s="11"/>
      <c r="BW359" s="11"/>
      <c r="BX359" s="11"/>
      <c r="BY359" s="11"/>
      <c r="BZ359" s="11"/>
      <c r="CA359" s="11"/>
      <c r="CB359" s="11"/>
      <c r="CC359" s="17"/>
      <c r="CD359" s="17"/>
      <c r="CE359" s="11"/>
      <c r="CF359" s="13"/>
      <c r="CG359" s="13"/>
      <c r="CH359" s="13"/>
      <c r="CI359" s="13"/>
      <c r="CJ359" s="13"/>
    </row>
    <row r="360" spans="1:88" s="9" customFormat="1" x14ac:dyDescent="0.25">
      <c r="A360" s="10"/>
      <c r="B360" s="10"/>
      <c r="C360" s="10"/>
      <c r="D360" s="10"/>
      <c r="E360" s="11"/>
      <c r="F360" s="10"/>
      <c r="G360" s="10"/>
      <c r="H360" s="10"/>
      <c r="I360" s="10"/>
      <c r="J360" s="10"/>
      <c r="K360" s="12"/>
      <c r="L360" s="10"/>
      <c r="M360" s="10"/>
      <c r="N360" s="13"/>
      <c r="O360" s="10"/>
      <c r="P360" s="10"/>
      <c r="Q360" s="10"/>
      <c r="R360" s="18"/>
      <c r="S360" s="10"/>
      <c r="T360" s="10"/>
      <c r="U360" s="13"/>
      <c r="V360" s="13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3"/>
      <c r="AL360" s="14"/>
      <c r="AM360" s="15"/>
      <c r="AN360" s="15"/>
      <c r="AO360" s="13"/>
      <c r="AP360" s="13"/>
      <c r="AQ360" s="16"/>
      <c r="AR360" s="10"/>
      <c r="AS360" s="10"/>
      <c r="AT360" s="10"/>
      <c r="AU360" s="10"/>
      <c r="AV360" s="11"/>
      <c r="AW360" s="11"/>
      <c r="AX360" s="10"/>
      <c r="AY360" s="11"/>
      <c r="AZ360" s="11"/>
      <c r="BA360" s="11"/>
      <c r="BB360" s="10"/>
      <c r="BC360" s="11"/>
      <c r="BD360" s="11"/>
      <c r="BE360" s="11"/>
      <c r="BF360" s="11"/>
      <c r="BG360" s="11"/>
      <c r="BH360" s="11"/>
      <c r="BI360" s="11"/>
      <c r="BJ360" s="11"/>
      <c r="BK360" s="11"/>
      <c r="BL360" s="11"/>
      <c r="BM360" s="11"/>
      <c r="BN360" s="11"/>
      <c r="BO360" s="11"/>
      <c r="BP360" s="11"/>
      <c r="BQ360" s="11"/>
      <c r="BR360" s="11"/>
      <c r="BS360" s="11"/>
      <c r="BT360" s="11"/>
      <c r="BU360" s="11"/>
      <c r="BV360" s="11"/>
      <c r="BW360" s="11"/>
      <c r="BX360" s="11"/>
      <c r="BY360" s="11"/>
      <c r="BZ360" s="11"/>
      <c r="CA360" s="11"/>
      <c r="CB360" s="11"/>
      <c r="CC360" s="17"/>
      <c r="CD360" s="17"/>
      <c r="CE360" s="11"/>
      <c r="CF360" s="13"/>
      <c r="CG360" s="13"/>
      <c r="CH360" s="13"/>
      <c r="CI360" s="13"/>
      <c r="CJ360" s="13"/>
    </row>
    <row r="361" spans="1:88" s="9" customFormat="1" x14ac:dyDescent="0.25">
      <c r="A361" s="10"/>
      <c r="B361" s="10"/>
      <c r="C361" s="10"/>
      <c r="D361" s="10"/>
      <c r="E361" s="11"/>
      <c r="F361" s="10"/>
      <c r="G361" s="10"/>
      <c r="H361" s="10"/>
      <c r="I361" s="10"/>
      <c r="J361" s="10"/>
      <c r="K361" s="12"/>
      <c r="L361" s="10"/>
      <c r="M361" s="10"/>
      <c r="N361" s="13"/>
      <c r="O361" s="10"/>
      <c r="P361" s="10"/>
      <c r="Q361" s="10"/>
      <c r="R361" s="18"/>
      <c r="S361" s="10"/>
      <c r="T361" s="10"/>
      <c r="U361" s="13"/>
      <c r="V361" s="13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3"/>
      <c r="AL361" s="14"/>
      <c r="AM361" s="15"/>
      <c r="AN361" s="15"/>
      <c r="AO361" s="13"/>
      <c r="AP361" s="13"/>
      <c r="AQ361" s="16"/>
      <c r="AR361" s="10"/>
      <c r="AS361" s="10"/>
      <c r="AT361" s="10"/>
      <c r="AU361" s="10"/>
      <c r="AV361" s="11"/>
      <c r="AW361" s="11"/>
      <c r="AX361" s="10"/>
      <c r="AY361" s="11"/>
      <c r="AZ361" s="11"/>
      <c r="BA361" s="11"/>
      <c r="BB361" s="10"/>
      <c r="BC361" s="11"/>
      <c r="BD361" s="11"/>
      <c r="BE361" s="11"/>
      <c r="BF361" s="11"/>
      <c r="BG361" s="11"/>
      <c r="BH361" s="11"/>
      <c r="BI361" s="11"/>
      <c r="BJ361" s="11"/>
      <c r="BK361" s="11"/>
      <c r="BL361" s="11"/>
      <c r="BM361" s="11"/>
      <c r="BN361" s="11"/>
      <c r="BO361" s="11"/>
      <c r="BP361" s="11"/>
      <c r="BQ361" s="11"/>
      <c r="BR361" s="11"/>
      <c r="BS361" s="11"/>
      <c r="BT361" s="11"/>
      <c r="BU361" s="11"/>
      <c r="BV361" s="11"/>
      <c r="BW361" s="11"/>
      <c r="BX361" s="11"/>
      <c r="BY361" s="11"/>
      <c r="BZ361" s="11"/>
      <c r="CA361" s="11"/>
      <c r="CB361" s="11"/>
      <c r="CC361" s="17"/>
      <c r="CD361" s="17"/>
      <c r="CE361" s="11"/>
      <c r="CF361" s="13"/>
      <c r="CG361" s="13"/>
      <c r="CH361" s="13"/>
      <c r="CI361" s="13"/>
      <c r="CJ361" s="13"/>
    </row>
    <row r="362" spans="1:88" s="9" customFormat="1" x14ac:dyDescent="0.25">
      <c r="A362" s="10"/>
      <c r="B362" s="10"/>
      <c r="C362" s="10"/>
      <c r="D362" s="10"/>
      <c r="E362" s="11"/>
      <c r="F362" s="10"/>
      <c r="G362" s="10"/>
      <c r="H362" s="10"/>
      <c r="I362" s="10"/>
      <c r="J362" s="10"/>
      <c r="K362" s="12"/>
      <c r="L362" s="10"/>
      <c r="M362" s="10"/>
      <c r="N362" s="13"/>
      <c r="O362" s="10"/>
      <c r="P362" s="10"/>
      <c r="Q362" s="10"/>
      <c r="R362" s="18"/>
      <c r="S362" s="10"/>
      <c r="T362" s="10"/>
      <c r="U362" s="13"/>
      <c r="V362" s="13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3"/>
      <c r="AL362" s="14"/>
      <c r="AM362" s="15"/>
      <c r="AN362" s="15"/>
      <c r="AO362" s="13"/>
      <c r="AP362" s="13"/>
      <c r="AQ362" s="16"/>
      <c r="AR362" s="10"/>
      <c r="AS362" s="10"/>
      <c r="AT362" s="10"/>
      <c r="AU362" s="10"/>
      <c r="AV362" s="11"/>
      <c r="AW362" s="11"/>
      <c r="AX362" s="10"/>
      <c r="AY362" s="11"/>
      <c r="AZ362" s="11"/>
      <c r="BA362" s="11"/>
      <c r="BB362" s="10"/>
      <c r="BC362" s="11"/>
      <c r="BD362" s="11"/>
      <c r="BE362" s="11"/>
      <c r="BF362" s="11"/>
      <c r="BG362" s="11"/>
      <c r="BH362" s="11"/>
      <c r="BI362" s="11"/>
      <c r="BJ362" s="11"/>
      <c r="BK362" s="11"/>
      <c r="BL362" s="11"/>
      <c r="BM362" s="11"/>
      <c r="BN362" s="11"/>
      <c r="BO362" s="11"/>
      <c r="BP362" s="11"/>
      <c r="BQ362" s="11"/>
      <c r="BR362" s="11"/>
      <c r="BS362" s="11"/>
      <c r="BT362" s="11"/>
      <c r="BU362" s="11"/>
      <c r="BV362" s="11"/>
      <c r="BW362" s="11"/>
      <c r="BX362" s="11"/>
      <c r="BY362" s="11"/>
      <c r="BZ362" s="11"/>
      <c r="CA362" s="11"/>
      <c r="CB362" s="11"/>
      <c r="CC362" s="17"/>
      <c r="CD362" s="17"/>
      <c r="CE362" s="11"/>
      <c r="CF362" s="13"/>
      <c r="CG362" s="13"/>
      <c r="CH362" s="13"/>
      <c r="CI362" s="13"/>
      <c r="CJ362" s="13"/>
    </row>
    <row r="363" spans="1:88" s="9" customFormat="1" x14ac:dyDescent="0.25">
      <c r="A363" s="10"/>
      <c r="B363" s="10"/>
      <c r="C363" s="10"/>
      <c r="D363" s="10"/>
      <c r="E363" s="11"/>
      <c r="F363" s="10"/>
      <c r="G363" s="10"/>
      <c r="H363" s="10"/>
      <c r="I363" s="10"/>
      <c r="J363" s="10"/>
      <c r="K363" s="12"/>
      <c r="L363" s="10"/>
      <c r="M363" s="10"/>
      <c r="N363" s="13"/>
      <c r="O363" s="10"/>
      <c r="P363" s="10"/>
      <c r="Q363" s="10"/>
      <c r="R363" s="18"/>
      <c r="S363" s="10"/>
      <c r="T363" s="10"/>
      <c r="U363" s="13"/>
      <c r="V363" s="13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3"/>
      <c r="AL363" s="14"/>
      <c r="AM363" s="15"/>
      <c r="AN363" s="15"/>
      <c r="AO363" s="13"/>
      <c r="AP363" s="13"/>
      <c r="AQ363" s="16"/>
      <c r="AR363" s="10"/>
      <c r="AS363" s="10"/>
      <c r="AT363" s="10"/>
      <c r="AU363" s="10"/>
      <c r="AV363" s="11"/>
      <c r="AW363" s="11"/>
      <c r="AX363" s="10"/>
      <c r="AY363" s="11"/>
      <c r="AZ363" s="11"/>
      <c r="BA363" s="11"/>
      <c r="BB363" s="10"/>
      <c r="BC363" s="11"/>
      <c r="BD363" s="11"/>
      <c r="BE363" s="11"/>
      <c r="BF363" s="11"/>
      <c r="BG363" s="11"/>
      <c r="BH363" s="11"/>
      <c r="BI363" s="11"/>
      <c r="BJ363" s="11"/>
      <c r="BK363" s="11"/>
      <c r="BL363" s="11"/>
      <c r="BM363" s="11"/>
      <c r="BN363" s="11"/>
      <c r="BO363" s="11"/>
      <c r="BP363" s="11"/>
      <c r="BQ363" s="11"/>
      <c r="BR363" s="11"/>
      <c r="BS363" s="11"/>
      <c r="BT363" s="11"/>
      <c r="BU363" s="11"/>
      <c r="BV363" s="11"/>
      <c r="BW363" s="11"/>
      <c r="BX363" s="11"/>
      <c r="BY363" s="11"/>
      <c r="BZ363" s="11"/>
      <c r="CA363" s="11"/>
      <c r="CB363" s="11"/>
      <c r="CC363" s="17"/>
      <c r="CD363" s="17"/>
      <c r="CE363" s="11"/>
      <c r="CF363" s="13"/>
      <c r="CG363" s="13"/>
      <c r="CH363" s="13"/>
      <c r="CI363" s="13"/>
      <c r="CJ363" s="13"/>
    </row>
    <row r="364" spans="1:88" s="9" customFormat="1" x14ac:dyDescent="0.25">
      <c r="A364" s="10"/>
      <c r="B364" s="10"/>
      <c r="C364" s="10"/>
      <c r="D364" s="10"/>
      <c r="E364" s="11"/>
      <c r="F364" s="10"/>
      <c r="G364" s="10"/>
      <c r="H364" s="10"/>
      <c r="I364" s="10"/>
      <c r="J364" s="10"/>
      <c r="K364" s="12"/>
      <c r="L364" s="10"/>
      <c r="M364" s="10"/>
      <c r="N364" s="13"/>
      <c r="O364" s="10"/>
      <c r="P364" s="10"/>
      <c r="Q364" s="10"/>
      <c r="R364" s="18"/>
      <c r="S364" s="10"/>
      <c r="T364" s="10"/>
      <c r="U364" s="13"/>
      <c r="V364" s="13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3"/>
      <c r="AL364" s="14"/>
      <c r="AM364" s="15"/>
      <c r="AN364" s="15"/>
      <c r="AO364" s="13"/>
      <c r="AP364" s="13"/>
      <c r="AQ364" s="16"/>
      <c r="AR364" s="10"/>
      <c r="AS364" s="10"/>
      <c r="AT364" s="10"/>
      <c r="AU364" s="10"/>
      <c r="AV364" s="11"/>
      <c r="AW364" s="11"/>
      <c r="AX364" s="10"/>
      <c r="AY364" s="11"/>
      <c r="AZ364" s="11"/>
      <c r="BA364" s="11"/>
      <c r="BB364" s="10"/>
      <c r="BC364" s="11"/>
      <c r="BD364" s="11"/>
      <c r="BE364" s="11"/>
      <c r="BF364" s="11"/>
      <c r="BG364" s="11"/>
      <c r="BH364" s="11"/>
      <c r="BI364" s="11"/>
      <c r="BJ364" s="11"/>
      <c r="BK364" s="11"/>
      <c r="BL364" s="11"/>
      <c r="BM364" s="11"/>
      <c r="BN364" s="11"/>
      <c r="BO364" s="11"/>
      <c r="BP364" s="11"/>
      <c r="BQ364" s="11"/>
      <c r="BR364" s="11"/>
      <c r="BS364" s="11"/>
      <c r="BT364" s="11"/>
      <c r="BU364" s="11"/>
      <c r="BV364" s="11"/>
      <c r="BW364" s="11"/>
      <c r="BX364" s="11"/>
      <c r="BY364" s="11"/>
      <c r="BZ364" s="11"/>
      <c r="CA364" s="11"/>
      <c r="CB364" s="11"/>
      <c r="CC364" s="17"/>
      <c r="CD364" s="17"/>
      <c r="CE364" s="11"/>
      <c r="CF364" s="13"/>
      <c r="CG364" s="13"/>
      <c r="CH364" s="13"/>
      <c r="CI364" s="13"/>
      <c r="CJ364" s="13"/>
    </row>
    <row r="365" spans="1:88" s="9" customFormat="1" x14ac:dyDescent="0.25">
      <c r="A365" s="10"/>
      <c r="B365" s="10"/>
      <c r="C365" s="10"/>
      <c r="D365" s="10"/>
      <c r="E365" s="11"/>
      <c r="F365" s="10"/>
      <c r="G365" s="10"/>
      <c r="H365" s="10"/>
      <c r="I365" s="10"/>
      <c r="J365" s="10"/>
      <c r="K365" s="12"/>
      <c r="L365" s="10"/>
      <c r="M365" s="10"/>
      <c r="N365" s="13"/>
      <c r="O365" s="10"/>
      <c r="P365" s="10"/>
      <c r="Q365" s="10"/>
      <c r="R365" s="18"/>
      <c r="S365" s="10"/>
      <c r="T365" s="10"/>
      <c r="U365" s="13"/>
      <c r="V365" s="13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3"/>
      <c r="AL365" s="14"/>
      <c r="AM365" s="15"/>
      <c r="AN365" s="15"/>
      <c r="AO365" s="13"/>
      <c r="AP365" s="13"/>
      <c r="AQ365" s="16"/>
      <c r="AR365" s="10"/>
      <c r="AS365" s="10"/>
      <c r="AT365" s="10"/>
      <c r="AU365" s="10"/>
      <c r="AV365" s="11"/>
      <c r="AW365" s="11"/>
      <c r="AX365" s="10"/>
      <c r="AY365" s="11"/>
      <c r="AZ365" s="11"/>
      <c r="BA365" s="11"/>
      <c r="BB365" s="10"/>
      <c r="BC365" s="11"/>
      <c r="BD365" s="11"/>
      <c r="BE365" s="11"/>
      <c r="BF365" s="11"/>
      <c r="BG365" s="11"/>
      <c r="BH365" s="11"/>
      <c r="BI365" s="11"/>
      <c r="BJ365" s="11"/>
      <c r="BK365" s="11"/>
      <c r="BL365" s="11"/>
      <c r="BM365" s="11"/>
      <c r="BN365" s="11"/>
      <c r="BO365" s="11"/>
      <c r="BP365" s="11"/>
      <c r="BQ365" s="11"/>
      <c r="BR365" s="11"/>
      <c r="BS365" s="11"/>
      <c r="BT365" s="11"/>
      <c r="BU365" s="11"/>
      <c r="BV365" s="11"/>
      <c r="BW365" s="11"/>
      <c r="BX365" s="11"/>
      <c r="BY365" s="11"/>
      <c r="BZ365" s="11"/>
      <c r="CA365" s="11"/>
      <c r="CB365" s="11"/>
      <c r="CC365" s="17"/>
      <c r="CD365" s="17"/>
      <c r="CE365" s="11"/>
      <c r="CF365" s="13"/>
      <c r="CG365" s="13"/>
      <c r="CH365" s="13"/>
      <c r="CI365" s="13"/>
      <c r="CJ365" s="13"/>
    </row>
    <row r="366" spans="1:88" s="9" customFormat="1" x14ac:dyDescent="0.25">
      <c r="A366" s="10"/>
      <c r="B366" s="10"/>
      <c r="C366" s="10"/>
      <c r="D366" s="10"/>
      <c r="E366" s="11"/>
      <c r="F366" s="10"/>
      <c r="G366" s="10"/>
      <c r="H366" s="10"/>
      <c r="I366" s="10"/>
      <c r="J366" s="10"/>
      <c r="K366" s="12"/>
      <c r="L366" s="10"/>
      <c r="M366" s="10"/>
      <c r="N366" s="13"/>
      <c r="O366" s="10"/>
      <c r="P366" s="10"/>
      <c r="Q366" s="10"/>
      <c r="R366" s="18"/>
      <c r="S366" s="10"/>
      <c r="T366" s="10"/>
      <c r="U366" s="13"/>
      <c r="V366" s="13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3"/>
      <c r="AL366" s="14"/>
      <c r="AM366" s="15"/>
      <c r="AN366" s="15"/>
      <c r="AO366" s="13"/>
      <c r="AP366" s="13"/>
      <c r="AQ366" s="16"/>
      <c r="AR366" s="10"/>
      <c r="AS366" s="10"/>
      <c r="AT366" s="10"/>
      <c r="AU366" s="10"/>
      <c r="AV366" s="11"/>
      <c r="AW366" s="11"/>
      <c r="AX366" s="10"/>
      <c r="AY366" s="11"/>
      <c r="AZ366" s="11"/>
      <c r="BA366" s="11"/>
      <c r="BB366" s="10"/>
      <c r="BC366" s="11"/>
      <c r="BD366" s="11"/>
      <c r="BE366" s="11"/>
      <c r="BF366" s="11"/>
      <c r="BG366" s="11"/>
      <c r="BH366" s="11"/>
      <c r="BI366" s="11"/>
      <c r="BJ366" s="11"/>
      <c r="BK366" s="11"/>
      <c r="BL366" s="11"/>
      <c r="BM366" s="11"/>
      <c r="BN366" s="11"/>
      <c r="BO366" s="11"/>
      <c r="BP366" s="11"/>
      <c r="BQ366" s="11"/>
      <c r="BR366" s="11"/>
      <c r="BS366" s="11"/>
      <c r="BT366" s="11"/>
      <c r="BU366" s="11"/>
      <c r="BV366" s="11"/>
      <c r="BW366" s="11"/>
      <c r="BX366" s="11"/>
      <c r="BY366" s="11"/>
      <c r="BZ366" s="11"/>
      <c r="CA366" s="11"/>
      <c r="CB366" s="11"/>
      <c r="CC366" s="17"/>
      <c r="CD366" s="17"/>
      <c r="CE366" s="11"/>
      <c r="CF366" s="13"/>
      <c r="CG366" s="13"/>
      <c r="CH366" s="13"/>
      <c r="CI366" s="13"/>
      <c r="CJ366" s="13"/>
    </row>
    <row r="367" spans="1:88" s="9" customFormat="1" x14ac:dyDescent="0.25">
      <c r="A367" s="10"/>
      <c r="B367" s="10"/>
      <c r="C367" s="10"/>
      <c r="D367" s="10"/>
      <c r="E367" s="11"/>
      <c r="F367" s="10"/>
      <c r="G367" s="10"/>
      <c r="H367" s="10"/>
      <c r="I367" s="10"/>
      <c r="J367" s="10"/>
      <c r="K367" s="12"/>
      <c r="L367" s="10"/>
      <c r="M367" s="10"/>
      <c r="N367" s="13"/>
      <c r="O367" s="10"/>
      <c r="P367" s="10"/>
      <c r="Q367" s="10"/>
      <c r="R367" s="18"/>
      <c r="S367" s="10"/>
      <c r="T367" s="10"/>
      <c r="U367" s="13"/>
      <c r="V367" s="13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3"/>
      <c r="AL367" s="14"/>
      <c r="AM367" s="15"/>
      <c r="AN367" s="15"/>
      <c r="AO367" s="13"/>
      <c r="AP367" s="13"/>
      <c r="AQ367" s="16"/>
      <c r="AR367" s="10"/>
      <c r="AS367" s="10"/>
      <c r="AT367" s="10"/>
      <c r="AU367" s="10"/>
      <c r="AV367" s="11"/>
      <c r="AW367" s="11"/>
      <c r="AX367" s="10"/>
      <c r="AY367" s="11"/>
      <c r="AZ367" s="11"/>
      <c r="BA367" s="11"/>
      <c r="BB367" s="10"/>
      <c r="BC367" s="11"/>
      <c r="BD367" s="11"/>
      <c r="BE367" s="11"/>
      <c r="BF367" s="11"/>
      <c r="BG367" s="11"/>
      <c r="BH367" s="11"/>
      <c r="BI367" s="11"/>
      <c r="BJ367" s="11"/>
      <c r="BK367" s="11"/>
      <c r="BL367" s="11"/>
      <c r="BM367" s="11"/>
      <c r="BN367" s="11"/>
      <c r="BO367" s="11"/>
      <c r="BP367" s="11"/>
      <c r="BQ367" s="11"/>
      <c r="BR367" s="11"/>
      <c r="BS367" s="11"/>
      <c r="BT367" s="11"/>
      <c r="BU367" s="11"/>
      <c r="BV367" s="11"/>
      <c r="BW367" s="11"/>
      <c r="BX367" s="11"/>
      <c r="BY367" s="11"/>
      <c r="BZ367" s="11"/>
      <c r="CA367" s="11"/>
      <c r="CB367" s="11"/>
      <c r="CC367" s="17"/>
      <c r="CD367" s="17"/>
      <c r="CE367" s="11"/>
      <c r="CF367" s="13"/>
      <c r="CG367" s="13"/>
      <c r="CH367" s="13"/>
      <c r="CI367" s="13"/>
      <c r="CJ367" s="13"/>
    </row>
    <row r="368" spans="1:88" s="9" customFormat="1" x14ac:dyDescent="0.25">
      <c r="A368" s="10"/>
      <c r="B368" s="10"/>
      <c r="C368" s="10"/>
      <c r="D368" s="10"/>
      <c r="E368" s="11"/>
      <c r="F368" s="10"/>
      <c r="G368" s="10"/>
      <c r="H368" s="10"/>
      <c r="I368" s="10"/>
      <c r="J368" s="10"/>
      <c r="K368" s="12"/>
      <c r="L368" s="10"/>
      <c r="M368" s="10"/>
      <c r="N368" s="13"/>
      <c r="O368" s="10"/>
      <c r="P368" s="10"/>
      <c r="Q368" s="10"/>
      <c r="R368" s="18"/>
      <c r="S368" s="10"/>
      <c r="T368" s="10"/>
      <c r="U368" s="13"/>
      <c r="V368" s="13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3"/>
      <c r="AL368" s="14"/>
      <c r="AM368" s="15"/>
      <c r="AN368" s="15"/>
      <c r="AO368" s="13"/>
      <c r="AP368" s="13"/>
      <c r="AQ368" s="16"/>
      <c r="AR368" s="10"/>
      <c r="AS368" s="10"/>
      <c r="AT368" s="10"/>
      <c r="AU368" s="10"/>
      <c r="AV368" s="11"/>
      <c r="AW368" s="11"/>
      <c r="AX368" s="10"/>
      <c r="AY368" s="11"/>
      <c r="AZ368" s="11"/>
      <c r="BA368" s="11"/>
      <c r="BB368" s="10"/>
      <c r="BC368" s="11"/>
      <c r="BD368" s="11"/>
      <c r="BE368" s="11"/>
      <c r="BF368" s="11"/>
      <c r="BG368" s="11"/>
      <c r="BH368" s="11"/>
      <c r="BI368" s="11"/>
      <c r="BJ368" s="11"/>
      <c r="BK368" s="11"/>
      <c r="BL368" s="11"/>
      <c r="BM368" s="11"/>
      <c r="BN368" s="11"/>
      <c r="BO368" s="11"/>
      <c r="BP368" s="11"/>
      <c r="BQ368" s="11"/>
      <c r="BR368" s="11"/>
      <c r="BS368" s="11"/>
      <c r="BT368" s="11"/>
      <c r="BU368" s="11"/>
      <c r="BV368" s="11"/>
      <c r="BW368" s="11"/>
      <c r="BX368" s="11"/>
      <c r="BY368" s="11"/>
      <c r="BZ368" s="11"/>
      <c r="CA368" s="11"/>
      <c r="CB368" s="11"/>
      <c r="CC368" s="17"/>
      <c r="CD368" s="17"/>
      <c r="CE368" s="11"/>
      <c r="CF368" s="13"/>
      <c r="CG368" s="13"/>
      <c r="CH368" s="13"/>
      <c r="CI368" s="13"/>
      <c r="CJ368" s="13"/>
    </row>
    <row r="369" spans="1:88" s="9" customFormat="1" x14ac:dyDescent="0.25">
      <c r="A369" s="10"/>
      <c r="B369" s="10"/>
      <c r="C369" s="10"/>
      <c r="D369" s="10"/>
      <c r="E369" s="11"/>
      <c r="F369" s="10"/>
      <c r="G369" s="10"/>
      <c r="H369" s="10"/>
      <c r="I369" s="10"/>
      <c r="J369" s="10"/>
      <c r="K369" s="12"/>
      <c r="L369" s="10"/>
      <c r="M369" s="10"/>
      <c r="N369" s="13"/>
      <c r="O369" s="10"/>
      <c r="P369" s="10"/>
      <c r="Q369" s="10"/>
      <c r="R369" s="18"/>
      <c r="S369" s="10"/>
      <c r="T369" s="10"/>
      <c r="U369" s="13"/>
      <c r="V369" s="13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3"/>
      <c r="AL369" s="14"/>
      <c r="AM369" s="15"/>
      <c r="AN369" s="15"/>
      <c r="AO369" s="13"/>
      <c r="AP369" s="13"/>
      <c r="AQ369" s="16"/>
      <c r="AR369" s="10"/>
      <c r="AS369" s="10"/>
      <c r="AT369" s="10"/>
      <c r="AU369" s="10"/>
      <c r="AV369" s="11"/>
      <c r="AW369" s="11"/>
      <c r="AX369" s="10"/>
      <c r="AY369" s="11"/>
      <c r="AZ369" s="11"/>
      <c r="BA369" s="11"/>
      <c r="BB369" s="10"/>
      <c r="BC369" s="11"/>
      <c r="BD369" s="11"/>
      <c r="BE369" s="11"/>
      <c r="BF369" s="11"/>
      <c r="BG369" s="11"/>
      <c r="BH369" s="11"/>
      <c r="BI369" s="11"/>
      <c r="BJ369" s="11"/>
      <c r="BK369" s="11"/>
      <c r="BL369" s="11"/>
      <c r="BM369" s="11"/>
      <c r="BN369" s="11"/>
      <c r="BO369" s="11"/>
      <c r="BP369" s="11"/>
      <c r="BQ369" s="11"/>
      <c r="BR369" s="11"/>
      <c r="BS369" s="11"/>
      <c r="BT369" s="11"/>
      <c r="BU369" s="11"/>
      <c r="BV369" s="11"/>
      <c r="BW369" s="11"/>
      <c r="BX369" s="11"/>
      <c r="BY369" s="11"/>
      <c r="BZ369" s="11"/>
      <c r="CA369" s="11"/>
      <c r="CB369" s="11"/>
      <c r="CC369" s="17"/>
      <c r="CD369" s="17"/>
      <c r="CE369" s="11"/>
      <c r="CF369" s="13"/>
      <c r="CG369" s="13"/>
      <c r="CH369" s="13"/>
      <c r="CI369" s="13"/>
      <c r="CJ369" s="13"/>
    </row>
    <row r="370" spans="1:88" s="9" customFormat="1" x14ac:dyDescent="0.25">
      <c r="A370" s="10"/>
      <c r="B370" s="10"/>
      <c r="C370" s="10"/>
      <c r="D370" s="10"/>
      <c r="E370" s="11"/>
      <c r="F370" s="10"/>
      <c r="G370" s="10"/>
      <c r="H370" s="10"/>
      <c r="I370" s="10"/>
      <c r="J370" s="10"/>
      <c r="K370" s="12"/>
      <c r="L370" s="10"/>
      <c r="M370" s="10"/>
      <c r="N370" s="13"/>
      <c r="O370" s="10"/>
      <c r="P370" s="10"/>
      <c r="Q370" s="10"/>
      <c r="R370" s="18"/>
      <c r="S370" s="10"/>
      <c r="T370" s="10"/>
      <c r="U370" s="13"/>
      <c r="V370" s="13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3"/>
      <c r="AL370" s="14"/>
      <c r="AM370" s="15"/>
      <c r="AN370" s="15"/>
      <c r="AO370" s="13"/>
      <c r="AP370" s="13"/>
      <c r="AQ370" s="16"/>
      <c r="AR370" s="10"/>
      <c r="AS370" s="10"/>
      <c r="AT370" s="10"/>
      <c r="AU370" s="10"/>
      <c r="AV370" s="11"/>
      <c r="AW370" s="11"/>
      <c r="AX370" s="10"/>
      <c r="AY370" s="11"/>
      <c r="AZ370" s="11"/>
      <c r="BA370" s="11"/>
      <c r="BB370" s="10"/>
      <c r="BC370" s="11"/>
      <c r="BD370" s="11"/>
      <c r="BE370" s="11"/>
      <c r="BF370" s="11"/>
      <c r="BG370" s="11"/>
      <c r="BH370" s="11"/>
      <c r="BI370" s="11"/>
      <c r="BJ370" s="11"/>
      <c r="BK370" s="11"/>
      <c r="BL370" s="11"/>
      <c r="BM370" s="11"/>
      <c r="BN370" s="11"/>
      <c r="BO370" s="11"/>
      <c r="BP370" s="11"/>
      <c r="BQ370" s="11"/>
      <c r="BR370" s="11"/>
      <c r="BS370" s="11"/>
      <c r="BT370" s="11"/>
      <c r="BU370" s="11"/>
      <c r="BV370" s="11"/>
      <c r="BW370" s="11"/>
      <c r="BX370" s="11"/>
      <c r="BY370" s="11"/>
      <c r="BZ370" s="11"/>
      <c r="CA370" s="11"/>
      <c r="CB370" s="11"/>
      <c r="CC370" s="17"/>
      <c r="CD370" s="17"/>
      <c r="CE370" s="11"/>
      <c r="CF370" s="13"/>
      <c r="CG370" s="13"/>
      <c r="CH370" s="13"/>
      <c r="CI370" s="13"/>
      <c r="CJ370" s="13"/>
    </row>
    <row r="371" spans="1:88" s="9" customFormat="1" x14ac:dyDescent="0.25">
      <c r="A371" s="10"/>
      <c r="B371" s="10"/>
      <c r="C371" s="10"/>
      <c r="D371" s="10"/>
      <c r="E371" s="11"/>
      <c r="F371" s="10"/>
      <c r="G371" s="10"/>
      <c r="H371" s="10"/>
      <c r="I371" s="10"/>
      <c r="J371" s="10"/>
      <c r="K371" s="12"/>
      <c r="L371" s="10"/>
      <c r="M371" s="10"/>
      <c r="N371" s="13"/>
      <c r="O371" s="10"/>
      <c r="P371" s="10"/>
      <c r="Q371" s="10"/>
      <c r="R371" s="18"/>
      <c r="S371" s="10"/>
      <c r="T371" s="10"/>
      <c r="U371" s="13"/>
      <c r="V371" s="13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3"/>
      <c r="AL371" s="14"/>
      <c r="AM371" s="15"/>
      <c r="AN371" s="15"/>
      <c r="AO371" s="13"/>
      <c r="AP371" s="13"/>
      <c r="AQ371" s="16"/>
      <c r="AR371" s="10"/>
      <c r="AS371" s="10"/>
      <c r="AT371" s="10"/>
      <c r="AU371" s="10"/>
      <c r="AV371" s="11"/>
      <c r="AW371" s="11"/>
      <c r="AX371" s="10"/>
      <c r="AY371" s="11"/>
      <c r="AZ371" s="11"/>
      <c r="BA371" s="11"/>
      <c r="BB371" s="10"/>
      <c r="BC371" s="11"/>
      <c r="BD371" s="11"/>
      <c r="BE371" s="11"/>
      <c r="BF371" s="11"/>
      <c r="BG371" s="11"/>
      <c r="BH371" s="11"/>
      <c r="BI371" s="11"/>
      <c r="BJ371" s="11"/>
      <c r="BK371" s="11"/>
      <c r="BL371" s="11"/>
      <c r="BM371" s="11"/>
      <c r="BN371" s="11"/>
      <c r="BO371" s="11"/>
      <c r="BP371" s="11"/>
      <c r="BQ371" s="11"/>
      <c r="BR371" s="11"/>
      <c r="BS371" s="11"/>
      <c r="BT371" s="11"/>
      <c r="BU371" s="11"/>
      <c r="BV371" s="11"/>
      <c r="BW371" s="11"/>
      <c r="BX371" s="11"/>
      <c r="BY371" s="11"/>
      <c r="BZ371" s="11"/>
      <c r="CA371" s="11"/>
      <c r="CB371" s="11"/>
      <c r="CC371" s="17"/>
      <c r="CD371" s="17"/>
      <c r="CE371" s="11"/>
      <c r="CF371" s="13"/>
      <c r="CG371" s="13"/>
      <c r="CH371" s="13"/>
      <c r="CI371" s="13"/>
      <c r="CJ371" s="13"/>
    </row>
    <row r="372" spans="1:88" s="9" customFormat="1" x14ac:dyDescent="0.25">
      <c r="A372" s="10"/>
      <c r="B372" s="10"/>
      <c r="C372" s="10"/>
      <c r="D372" s="10"/>
      <c r="E372" s="11"/>
      <c r="F372" s="10"/>
      <c r="G372" s="10"/>
      <c r="H372" s="10"/>
      <c r="I372" s="10"/>
      <c r="J372" s="10"/>
      <c r="K372" s="12"/>
      <c r="L372" s="10"/>
      <c r="M372" s="10"/>
      <c r="N372" s="13"/>
      <c r="O372" s="10"/>
      <c r="P372" s="10"/>
      <c r="Q372" s="10"/>
      <c r="R372" s="18"/>
      <c r="S372" s="10"/>
      <c r="T372" s="10"/>
      <c r="U372" s="13"/>
      <c r="V372" s="13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3"/>
      <c r="AL372" s="14"/>
      <c r="AM372" s="15"/>
      <c r="AN372" s="15"/>
      <c r="AO372" s="13"/>
      <c r="AP372" s="13"/>
      <c r="AQ372" s="16"/>
      <c r="AR372" s="10"/>
      <c r="AS372" s="10"/>
      <c r="AT372" s="10"/>
      <c r="AU372" s="10"/>
      <c r="AV372" s="11"/>
      <c r="AW372" s="11"/>
      <c r="AX372" s="10"/>
      <c r="AY372" s="11"/>
      <c r="AZ372" s="11"/>
      <c r="BA372" s="11"/>
      <c r="BB372" s="10"/>
      <c r="BC372" s="11"/>
      <c r="BD372" s="11"/>
      <c r="BE372" s="11"/>
      <c r="BF372" s="11"/>
      <c r="BG372" s="11"/>
      <c r="BH372" s="11"/>
      <c r="BI372" s="11"/>
      <c r="BJ372" s="11"/>
      <c r="BK372" s="11"/>
      <c r="BL372" s="11"/>
      <c r="BM372" s="11"/>
      <c r="BN372" s="11"/>
      <c r="BO372" s="11"/>
      <c r="BP372" s="11"/>
      <c r="BQ372" s="11"/>
      <c r="BR372" s="11"/>
      <c r="BS372" s="11"/>
      <c r="BT372" s="11"/>
      <c r="BU372" s="11"/>
      <c r="BV372" s="11"/>
      <c r="BW372" s="11"/>
      <c r="BX372" s="11"/>
      <c r="BY372" s="11"/>
      <c r="BZ372" s="11"/>
      <c r="CA372" s="11"/>
      <c r="CB372" s="11"/>
      <c r="CC372" s="17"/>
      <c r="CD372" s="17"/>
      <c r="CE372" s="11"/>
      <c r="CF372" s="13"/>
      <c r="CG372" s="13"/>
      <c r="CH372" s="13"/>
      <c r="CI372" s="13"/>
      <c r="CJ372" s="13"/>
    </row>
    <row r="373" spans="1:88" s="9" customFormat="1" x14ac:dyDescent="0.25">
      <c r="A373" s="10"/>
      <c r="B373" s="10"/>
      <c r="C373" s="10"/>
      <c r="D373" s="10"/>
      <c r="E373" s="11"/>
      <c r="F373" s="10"/>
      <c r="G373" s="10"/>
      <c r="H373" s="10"/>
      <c r="I373" s="10"/>
      <c r="J373" s="10"/>
      <c r="K373" s="12"/>
      <c r="L373" s="10"/>
      <c r="M373" s="10"/>
      <c r="N373" s="13"/>
      <c r="O373" s="10"/>
      <c r="P373" s="10"/>
      <c r="Q373" s="10"/>
      <c r="R373" s="18"/>
      <c r="S373" s="10"/>
      <c r="T373" s="10"/>
      <c r="U373" s="13"/>
      <c r="V373" s="13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3"/>
      <c r="AL373" s="14"/>
      <c r="AM373" s="15"/>
      <c r="AN373" s="15"/>
      <c r="AO373" s="13"/>
      <c r="AP373" s="13"/>
      <c r="AQ373" s="16"/>
      <c r="AR373" s="10"/>
      <c r="AS373" s="10"/>
      <c r="AT373" s="10"/>
      <c r="AU373" s="10"/>
      <c r="AV373" s="11"/>
      <c r="AW373" s="11"/>
      <c r="AX373" s="10"/>
      <c r="AY373" s="11"/>
      <c r="AZ373" s="11"/>
      <c r="BA373" s="11"/>
      <c r="BB373" s="10"/>
      <c r="BC373" s="11"/>
      <c r="BD373" s="11"/>
      <c r="BE373" s="11"/>
      <c r="BF373" s="11"/>
      <c r="BG373" s="11"/>
      <c r="BH373" s="11"/>
      <c r="BI373" s="11"/>
      <c r="BJ373" s="11"/>
      <c r="BK373" s="11"/>
      <c r="BL373" s="11"/>
      <c r="BM373" s="11"/>
      <c r="BN373" s="11"/>
      <c r="BO373" s="11"/>
      <c r="BP373" s="11"/>
      <c r="BQ373" s="11"/>
      <c r="BR373" s="11"/>
      <c r="BS373" s="11"/>
      <c r="BT373" s="11"/>
      <c r="BU373" s="11"/>
      <c r="BV373" s="11"/>
      <c r="BW373" s="11"/>
      <c r="BX373" s="11"/>
      <c r="BY373" s="11"/>
      <c r="BZ373" s="11"/>
      <c r="CA373" s="11"/>
      <c r="CB373" s="11"/>
      <c r="CC373" s="17"/>
      <c r="CD373" s="17"/>
      <c r="CE373" s="11"/>
      <c r="CF373" s="13"/>
      <c r="CG373" s="13"/>
      <c r="CH373" s="13"/>
      <c r="CI373" s="13"/>
      <c r="CJ373" s="13"/>
    </row>
    <row r="374" spans="1:88" s="9" customFormat="1" x14ac:dyDescent="0.25">
      <c r="A374" s="10"/>
      <c r="B374" s="10"/>
      <c r="C374" s="10"/>
      <c r="D374" s="10"/>
      <c r="E374" s="11"/>
      <c r="F374" s="10"/>
      <c r="G374" s="10"/>
      <c r="H374" s="10"/>
      <c r="I374" s="10"/>
      <c r="J374" s="10"/>
      <c r="K374" s="12"/>
      <c r="L374" s="10"/>
      <c r="M374" s="10"/>
      <c r="N374" s="13"/>
      <c r="O374" s="10"/>
      <c r="P374" s="10"/>
      <c r="Q374" s="10"/>
      <c r="R374" s="18"/>
      <c r="S374" s="10"/>
      <c r="T374" s="10"/>
      <c r="U374" s="13"/>
      <c r="V374" s="13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3"/>
      <c r="AL374" s="14"/>
      <c r="AM374" s="15"/>
      <c r="AN374" s="15"/>
      <c r="AO374" s="13"/>
      <c r="AP374" s="13"/>
      <c r="AQ374" s="16"/>
      <c r="AR374" s="10"/>
      <c r="AS374" s="10"/>
      <c r="AT374" s="10"/>
      <c r="AU374" s="10"/>
      <c r="AV374" s="11"/>
      <c r="AW374" s="11"/>
      <c r="AX374" s="10"/>
      <c r="AY374" s="11"/>
      <c r="AZ374" s="11"/>
      <c r="BA374" s="11"/>
      <c r="BB374" s="10"/>
      <c r="BC374" s="11"/>
      <c r="BD374" s="11"/>
      <c r="BE374" s="11"/>
      <c r="BF374" s="11"/>
      <c r="BG374" s="11"/>
      <c r="BH374" s="11"/>
      <c r="BI374" s="11"/>
      <c r="BJ374" s="11"/>
      <c r="BK374" s="11"/>
      <c r="BL374" s="11"/>
      <c r="BM374" s="11"/>
      <c r="BN374" s="11"/>
      <c r="BO374" s="11"/>
      <c r="BP374" s="11"/>
      <c r="BQ374" s="11"/>
      <c r="BR374" s="11"/>
      <c r="BS374" s="11"/>
      <c r="BT374" s="11"/>
      <c r="BU374" s="11"/>
      <c r="BV374" s="11"/>
      <c r="BW374" s="11"/>
      <c r="BX374" s="11"/>
      <c r="BY374" s="11"/>
      <c r="BZ374" s="11"/>
      <c r="CA374" s="11"/>
      <c r="CB374" s="11"/>
      <c r="CC374" s="17"/>
      <c r="CD374" s="17"/>
      <c r="CE374" s="11"/>
      <c r="CF374" s="13"/>
      <c r="CG374" s="13"/>
      <c r="CH374" s="13"/>
      <c r="CI374" s="13"/>
      <c r="CJ374" s="13"/>
    </row>
    <row r="375" spans="1:88" s="9" customFormat="1" x14ac:dyDescent="0.25">
      <c r="A375" s="10"/>
      <c r="B375" s="10"/>
      <c r="C375" s="10"/>
      <c r="D375" s="10"/>
      <c r="E375" s="11"/>
      <c r="F375" s="10"/>
      <c r="G375" s="10"/>
      <c r="H375" s="10"/>
      <c r="I375" s="10"/>
      <c r="J375" s="10"/>
      <c r="K375" s="12"/>
      <c r="L375" s="10"/>
      <c r="M375" s="10"/>
      <c r="N375" s="13"/>
      <c r="O375" s="10"/>
      <c r="P375" s="10"/>
      <c r="Q375" s="10"/>
      <c r="R375" s="18"/>
      <c r="S375" s="10"/>
      <c r="T375" s="10"/>
      <c r="U375" s="13"/>
      <c r="V375" s="13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3"/>
      <c r="AL375" s="14"/>
      <c r="AM375" s="15"/>
      <c r="AN375" s="15"/>
      <c r="AO375" s="13"/>
      <c r="AP375" s="13"/>
      <c r="AQ375" s="16"/>
      <c r="AR375" s="10"/>
      <c r="AS375" s="10"/>
      <c r="AT375" s="10"/>
      <c r="AU375" s="10"/>
      <c r="AV375" s="11"/>
      <c r="AW375" s="11"/>
      <c r="AX375" s="10"/>
      <c r="AY375" s="11"/>
      <c r="AZ375" s="11"/>
      <c r="BA375" s="11"/>
      <c r="BB375" s="10"/>
      <c r="BC375" s="11"/>
      <c r="BD375" s="11"/>
      <c r="BE375" s="11"/>
      <c r="BF375" s="11"/>
      <c r="BG375" s="11"/>
      <c r="BH375" s="11"/>
      <c r="BI375" s="11"/>
      <c r="BJ375" s="11"/>
      <c r="BK375" s="11"/>
      <c r="BL375" s="11"/>
      <c r="BM375" s="11"/>
      <c r="BN375" s="11"/>
      <c r="BO375" s="11"/>
      <c r="BP375" s="11"/>
      <c r="BQ375" s="11"/>
      <c r="BR375" s="11"/>
      <c r="BS375" s="11"/>
      <c r="BT375" s="11"/>
      <c r="BU375" s="11"/>
      <c r="BV375" s="11"/>
      <c r="BW375" s="11"/>
      <c r="BX375" s="11"/>
      <c r="BY375" s="11"/>
      <c r="BZ375" s="11"/>
      <c r="CA375" s="11"/>
      <c r="CB375" s="11"/>
      <c r="CC375" s="17"/>
      <c r="CD375" s="17"/>
      <c r="CE375" s="11"/>
      <c r="CF375" s="13"/>
      <c r="CG375" s="13"/>
      <c r="CH375" s="13"/>
      <c r="CI375" s="13"/>
      <c r="CJ375" s="13"/>
    </row>
    <row r="376" spans="1:88" s="9" customFormat="1" x14ac:dyDescent="0.25">
      <c r="A376" s="10"/>
      <c r="B376" s="10"/>
      <c r="C376" s="10"/>
      <c r="D376" s="10"/>
      <c r="E376" s="11"/>
      <c r="F376" s="10"/>
      <c r="G376" s="10"/>
      <c r="H376" s="10"/>
      <c r="I376" s="10"/>
      <c r="J376" s="10"/>
      <c r="K376" s="12"/>
      <c r="L376" s="10"/>
      <c r="M376" s="10"/>
      <c r="N376" s="13"/>
      <c r="O376" s="10"/>
      <c r="P376" s="10"/>
      <c r="Q376" s="10"/>
      <c r="R376" s="18"/>
      <c r="S376" s="10"/>
      <c r="T376" s="10"/>
      <c r="U376" s="13"/>
      <c r="V376" s="13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3"/>
      <c r="AL376" s="14"/>
      <c r="AM376" s="15"/>
      <c r="AN376" s="15"/>
      <c r="AO376" s="13"/>
      <c r="AP376" s="13"/>
      <c r="AQ376" s="16"/>
      <c r="AR376" s="10"/>
      <c r="AS376" s="10"/>
      <c r="AT376" s="10"/>
      <c r="AU376" s="10"/>
      <c r="AV376" s="11"/>
      <c r="AW376" s="11"/>
      <c r="AX376" s="10"/>
      <c r="AY376" s="11"/>
      <c r="AZ376" s="11"/>
      <c r="BA376" s="11"/>
      <c r="BB376" s="10"/>
      <c r="BC376" s="11"/>
      <c r="BD376" s="11"/>
      <c r="BE376" s="11"/>
      <c r="BF376" s="11"/>
      <c r="BG376" s="11"/>
      <c r="BH376" s="11"/>
      <c r="BI376" s="11"/>
      <c r="BJ376" s="11"/>
      <c r="BK376" s="11"/>
      <c r="BL376" s="11"/>
      <c r="BM376" s="11"/>
      <c r="BN376" s="11"/>
      <c r="BO376" s="11"/>
      <c r="BP376" s="11"/>
      <c r="BQ376" s="11"/>
      <c r="BR376" s="11"/>
      <c r="BS376" s="11"/>
      <c r="BT376" s="11"/>
      <c r="BU376" s="11"/>
      <c r="BV376" s="11"/>
      <c r="BW376" s="11"/>
      <c r="BX376" s="11"/>
      <c r="BY376" s="11"/>
      <c r="BZ376" s="11"/>
      <c r="CA376" s="11"/>
      <c r="CB376" s="11"/>
      <c r="CC376" s="17"/>
      <c r="CD376" s="17"/>
      <c r="CE376" s="11"/>
      <c r="CF376" s="13"/>
      <c r="CG376" s="13"/>
      <c r="CH376" s="13"/>
      <c r="CI376" s="13"/>
      <c r="CJ376" s="13"/>
    </row>
    <row r="377" spans="1:88" s="9" customFormat="1" x14ac:dyDescent="0.25">
      <c r="A377" s="10"/>
      <c r="B377" s="10"/>
      <c r="C377" s="10"/>
      <c r="D377" s="10"/>
      <c r="E377" s="11"/>
      <c r="F377" s="10"/>
      <c r="G377" s="10"/>
      <c r="H377" s="10"/>
      <c r="I377" s="10"/>
      <c r="J377" s="10"/>
      <c r="K377" s="12"/>
      <c r="L377" s="10"/>
      <c r="M377" s="10"/>
      <c r="N377" s="13"/>
      <c r="O377" s="10"/>
      <c r="P377" s="10"/>
      <c r="Q377" s="10"/>
      <c r="R377" s="18"/>
      <c r="S377" s="10"/>
      <c r="T377" s="10"/>
      <c r="U377" s="13"/>
      <c r="V377" s="13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3"/>
      <c r="AL377" s="14"/>
      <c r="AM377" s="15"/>
      <c r="AN377" s="15"/>
      <c r="AO377" s="13"/>
      <c r="AP377" s="13"/>
      <c r="AQ377" s="16"/>
      <c r="AR377" s="10"/>
      <c r="AS377" s="10"/>
      <c r="AT377" s="10"/>
      <c r="AU377" s="10"/>
      <c r="AV377" s="11"/>
      <c r="AW377" s="11"/>
      <c r="AX377" s="10"/>
      <c r="AY377" s="11"/>
      <c r="AZ377" s="11"/>
      <c r="BA377" s="11"/>
      <c r="BB377" s="10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  <c r="BN377" s="11"/>
      <c r="BO377" s="11"/>
      <c r="BP377" s="11"/>
      <c r="BQ377" s="11"/>
      <c r="BR377" s="11"/>
      <c r="BS377" s="11"/>
      <c r="BT377" s="11"/>
      <c r="BU377" s="11"/>
      <c r="BV377" s="11"/>
      <c r="BW377" s="11"/>
      <c r="BX377" s="11"/>
      <c r="BY377" s="11"/>
      <c r="BZ377" s="11"/>
      <c r="CA377" s="11"/>
      <c r="CB377" s="11"/>
      <c r="CC377" s="17"/>
      <c r="CD377" s="17"/>
      <c r="CE377" s="11"/>
      <c r="CF377" s="13"/>
      <c r="CG377" s="13"/>
      <c r="CH377" s="13"/>
      <c r="CI377" s="13"/>
      <c r="CJ377" s="13"/>
    </row>
    <row r="378" spans="1:88" s="9" customFormat="1" x14ac:dyDescent="0.25">
      <c r="A378" s="10"/>
      <c r="B378" s="10"/>
      <c r="C378" s="10"/>
      <c r="D378" s="10"/>
      <c r="E378" s="11"/>
      <c r="F378" s="10"/>
      <c r="G378" s="10"/>
      <c r="H378" s="10"/>
      <c r="I378" s="10"/>
      <c r="J378" s="10"/>
      <c r="K378" s="12"/>
      <c r="L378" s="10"/>
      <c r="M378" s="10"/>
      <c r="N378" s="13"/>
      <c r="O378" s="10"/>
      <c r="P378" s="10"/>
      <c r="Q378" s="10"/>
      <c r="R378" s="18"/>
      <c r="S378" s="10"/>
      <c r="T378" s="10"/>
      <c r="U378" s="13"/>
      <c r="V378" s="13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3"/>
      <c r="AL378" s="14"/>
      <c r="AM378" s="15"/>
      <c r="AN378" s="15"/>
      <c r="AO378" s="13"/>
      <c r="AP378" s="13"/>
      <c r="AQ378" s="16"/>
      <c r="AR378" s="10"/>
      <c r="AS378" s="10"/>
      <c r="AT378" s="10"/>
      <c r="AU378" s="10"/>
      <c r="AV378" s="11"/>
      <c r="AW378" s="11"/>
      <c r="AX378" s="10"/>
      <c r="AY378" s="11"/>
      <c r="AZ378" s="11"/>
      <c r="BA378" s="11"/>
      <c r="BB378" s="10"/>
      <c r="BC378" s="11"/>
      <c r="BD378" s="11"/>
      <c r="BE378" s="11"/>
      <c r="BF378" s="11"/>
      <c r="BG378" s="11"/>
      <c r="BH378" s="11"/>
      <c r="BI378" s="11"/>
      <c r="BJ378" s="11"/>
      <c r="BK378" s="11"/>
      <c r="BL378" s="11"/>
      <c r="BM378" s="11"/>
      <c r="BN378" s="11"/>
      <c r="BO378" s="11"/>
      <c r="BP378" s="11"/>
      <c r="BQ378" s="11"/>
      <c r="BR378" s="11"/>
      <c r="BS378" s="11"/>
      <c r="BT378" s="11"/>
      <c r="BU378" s="11"/>
      <c r="BV378" s="11"/>
      <c r="BW378" s="11"/>
      <c r="BX378" s="11"/>
      <c r="BY378" s="11"/>
      <c r="BZ378" s="11"/>
      <c r="CA378" s="11"/>
      <c r="CB378" s="11"/>
      <c r="CC378" s="17"/>
      <c r="CD378" s="17"/>
      <c r="CE378" s="11"/>
      <c r="CF378" s="13"/>
      <c r="CG378" s="13"/>
      <c r="CH378" s="13"/>
      <c r="CI378" s="13"/>
      <c r="CJ378" s="13"/>
    </row>
    <row r="379" spans="1:88" s="9" customFormat="1" x14ac:dyDescent="0.25">
      <c r="A379" s="10"/>
      <c r="B379" s="10"/>
      <c r="C379" s="10"/>
      <c r="D379" s="10"/>
      <c r="E379" s="11"/>
      <c r="F379" s="10"/>
      <c r="G379" s="10"/>
      <c r="H379" s="10"/>
      <c r="I379" s="10"/>
      <c r="J379" s="10"/>
      <c r="K379" s="12"/>
      <c r="L379" s="10"/>
      <c r="M379" s="10"/>
      <c r="N379" s="13"/>
      <c r="O379" s="10"/>
      <c r="P379" s="10"/>
      <c r="Q379" s="10"/>
      <c r="R379" s="18"/>
      <c r="S379" s="10"/>
      <c r="T379" s="10"/>
      <c r="U379" s="13"/>
      <c r="V379" s="13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3"/>
      <c r="AL379" s="14"/>
      <c r="AM379" s="15"/>
      <c r="AN379" s="15"/>
      <c r="AO379" s="13"/>
      <c r="AP379" s="13"/>
      <c r="AQ379" s="16"/>
      <c r="AR379" s="10"/>
      <c r="AS379" s="10"/>
      <c r="AT379" s="10"/>
      <c r="AU379" s="10"/>
      <c r="AV379" s="11"/>
      <c r="AW379" s="11"/>
      <c r="AX379" s="10"/>
      <c r="AY379" s="11"/>
      <c r="AZ379" s="11"/>
      <c r="BA379" s="11"/>
      <c r="BB379" s="10"/>
      <c r="BC379" s="11"/>
      <c r="BD379" s="11"/>
      <c r="BE379" s="11"/>
      <c r="BF379" s="11"/>
      <c r="BG379" s="11"/>
      <c r="BH379" s="11"/>
      <c r="BI379" s="11"/>
      <c r="BJ379" s="11"/>
      <c r="BK379" s="11"/>
      <c r="BL379" s="11"/>
      <c r="BM379" s="11"/>
      <c r="BN379" s="11"/>
      <c r="BO379" s="11"/>
      <c r="BP379" s="11"/>
      <c r="BQ379" s="11"/>
      <c r="BR379" s="11"/>
      <c r="BS379" s="11"/>
      <c r="BT379" s="11"/>
      <c r="BU379" s="11"/>
      <c r="BV379" s="11"/>
      <c r="BW379" s="11"/>
      <c r="BX379" s="11"/>
      <c r="BY379" s="11"/>
      <c r="BZ379" s="11"/>
      <c r="CA379" s="11"/>
      <c r="CB379" s="11"/>
      <c r="CC379" s="17"/>
      <c r="CD379" s="17"/>
      <c r="CE379" s="11"/>
      <c r="CF379" s="13"/>
      <c r="CG379" s="13"/>
      <c r="CH379" s="13"/>
      <c r="CI379" s="13"/>
      <c r="CJ379" s="13"/>
    </row>
    <row r="380" spans="1:88" s="9" customFormat="1" x14ac:dyDescent="0.25">
      <c r="A380" s="10"/>
      <c r="B380" s="10"/>
      <c r="C380" s="10"/>
      <c r="D380" s="10"/>
      <c r="E380" s="11"/>
      <c r="F380" s="10"/>
      <c r="G380" s="10"/>
      <c r="H380" s="10"/>
      <c r="I380" s="10"/>
      <c r="J380" s="10"/>
      <c r="K380" s="12"/>
      <c r="L380" s="10"/>
      <c r="M380" s="10"/>
      <c r="N380" s="13"/>
      <c r="O380" s="10"/>
      <c r="P380" s="10"/>
      <c r="Q380" s="10"/>
      <c r="R380" s="18"/>
      <c r="S380" s="10"/>
      <c r="T380" s="10"/>
      <c r="U380" s="13"/>
      <c r="V380" s="13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3"/>
      <c r="AL380" s="14"/>
      <c r="AM380" s="15"/>
      <c r="AN380" s="15"/>
      <c r="AO380" s="13"/>
      <c r="AP380" s="13"/>
      <c r="AQ380" s="16"/>
      <c r="AR380" s="10"/>
      <c r="AS380" s="10"/>
      <c r="AT380" s="10"/>
      <c r="AU380" s="10"/>
      <c r="AV380" s="11"/>
      <c r="AW380" s="11"/>
      <c r="AX380" s="10"/>
      <c r="AY380" s="11"/>
      <c r="AZ380" s="11"/>
      <c r="BA380" s="11"/>
      <c r="BB380" s="10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/>
      <c r="BN380" s="11"/>
      <c r="BO380" s="11"/>
      <c r="BP380" s="11"/>
      <c r="BQ380" s="11"/>
      <c r="BR380" s="11"/>
      <c r="BS380" s="11"/>
      <c r="BT380" s="11"/>
      <c r="BU380" s="11"/>
      <c r="BV380" s="11"/>
      <c r="BW380" s="11"/>
      <c r="BX380" s="11"/>
      <c r="BY380" s="11"/>
      <c r="BZ380" s="11"/>
      <c r="CA380" s="11"/>
      <c r="CB380" s="11"/>
      <c r="CC380" s="17"/>
      <c r="CD380" s="17"/>
      <c r="CE380" s="11"/>
      <c r="CF380" s="13"/>
      <c r="CG380" s="13"/>
      <c r="CH380" s="13"/>
      <c r="CI380" s="13"/>
      <c r="CJ380" s="13"/>
    </row>
    <row r="381" spans="1:88" s="9" customFormat="1" x14ac:dyDescent="0.25">
      <c r="A381" s="10"/>
      <c r="B381" s="10"/>
      <c r="C381" s="10"/>
      <c r="D381" s="10"/>
      <c r="E381" s="11"/>
      <c r="F381" s="10"/>
      <c r="G381" s="10"/>
      <c r="H381" s="10"/>
      <c r="I381" s="10"/>
      <c r="J381" s="10"/>
      <c r="K381" s="12"/>
      <c r="L381" s="10"/>
      <c r="M381" s="10"/>
      <c r="N381" s="13"/>
      <c r="O381" s="10"/>
      <c r="P381" s="10"/>
      <c r="Q381" s="10"/>
      <c r="R381" s="18"/>
      <c r="S381" s="10"/>
      <c r="T381" s="10"/>
      <c r="U381" s="13"/>
      <c r="V381" s="13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3"/>
      <c r="AL381" s="14"/>
      <c r="AM381" s="15"/>
      <c r="AN381" s="15"/>
      <c r="AO381" s="13"/>
      <c r="AP381" s="13"/>
      <c r="AQ381" s="16"/>
      <c r="AR381" s="10"/>
      <c r="AS381" s="10"/>
      <c r="AT381" s="10"/>
      <c r="AU381" s="10"/>
      <c r="AV381" s="11"/>
      <c r="AW381" s="11"/>
      <c r="AX381" s="10"/>
      <c r="AY381" s="11"/>
      <c r="AZ381" s="11"/>
      <c r="BA381" s="11"/>
      <c r="BB381" s="10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  <c r="BN381" s="11"/>
      <c r="BO381" s="11"/>
      <c r="BP381" s="11"/>
      <c r="BQ381" s="11"/>
      <c r="BR381" s="11"/>
      <c r="BS381" s="11"/>
      <c r="BT381" s="11"/>
      <c r="BU381" s="11"/>
      <c r="BV381" s="11"/>
      <c r="BW381" s="11"/>
      <c r="BX381" s="11"/>
      <c r="BY381" s="11"/>
      <c r="BZ381" s="11"/>
      <c r="CA381" s="11"/>
      <c r="CB381" s="11"/>
      <c r="CC381" s="17"/>
      <c r="CD381" s="17"/>
      <c r="CE381" s="11"/>
      <c r="CF381" s="13"/>
      <c r="CG381" s="13"/>
      <c r="CH381" s="13"/>
      <c r="CI381" s="13"/>
      <c r="CJ381" s="13"/>
    </row>
    <row r="382" spans="1:88" s="9" customFormat="1" x14ac:dyDescent="0.25">
      <c r="A382" s="10"/>
      <c r="B382" s="10"/>
      <c r="C382" s="10"/>
      <c r="D382" s="10"/>
      <c r="E382" s="11"/>
      <c r="F382" s="10"/>
      <c r="G382" s="10"/>
      <c r="H382" s="10"/>
      <c r="I382" s="10"/>
      <c r="J382" s="10"/>
      <c r="K382" s="12"/>
      <c r="L382" s="10"/>
      <c r="M382" s="10"/>
      <c r="N382" s="13"/>
      <c r="O382" s="10"/>
      <c r="P382" s="10"/>
      <c r="Q382" s="10"/>
      <c r="R382" s="18"/>
      <c r="S382" s="10"/>
      <c r="T382" s="10"/>
      <c r="U382" s="13"/>
      <c r="V382" s="13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3"/>
      <c r="AL382" s="14"/>
      <c r="AM382" s="15"/>
      <c r="AN382" s="15"/>
      <c r="AO382" s="13"/>
      <c r="AP382" s="13"/>
      <c r="AQ382" s="16"/>
      <c r="AR382" s="10"/>
      <c r="AS382" s="10"/>
      <c r="AT382" s="10"/>
      <c r="AU382" s="10"/>
      <c r="AV382" s="11"/>
      <c r="AW382" s="11"/>
      <c r="AX382" s="10"/>
      <c r="AY382" s="11"/>
      <c r="AZ382" s="11"/>
      <c r="BA382" s="11"/>
      <c r="BB382" s="10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  <c r="BO382" s="11"/>
      <c r="BP382" s="11"/>
      <c r="BQ382" s="11"/>
      <c r="BR382" s="11"/>
      <c r="BS382" s="11"/>
      <c r="BT382" s="11"/>
      <c r="BU382" s="11"/>
      <c r="BV382" s="11"/>
      <c r="BW382" s="11"/>
      <c r="BX382" s="11"/>
      <c r="BY382" s="11"/>
      <c r="BZ382" s="11"/>
      <c r="CA382" s="11"/>
      <c r="CB382" s="11"/>
      <c r="CC382" s="17"/>
      <c r="CD382" s="17"/>
      <c r="CE382" s="11"/>
      <c r="CF382" s="13"/>
      <c r="CG382" s="13"/>
      <c r="CH382" s="13"/>
      <c r="CI382" s="13"/>
      <c r="CJ382" s="13"/>
    </row>
    <row r="383" spans="1:88" s="9" customFormat="1" x14ac:dyDescent="0.25">
      <c r="A383" s="10"/>
      <c r="B383" s="10"/>
      <c r="C383" s="10"/>
      <c r="D383" s="10"/>
      <c r="E383" s="11"/>
      <c r="F383" s="10"/>
      <c r="G383" s="10"/>
      <c r="H383" s="10"/>
      <c r="I383" s="10"/>
      <c r="J383" s="10"/>
      <c r="K383" s="12"/>
      <c r="L383" s="10"/>
      <c r="M383" s="10"/>
      <c r="N383" s="13"/>
      <c r="O383" s="10"/>
      <c r="P383" s="10"/>
      <c r="Q383" s="10"/>
      <c r="R383" s="18"/>
      <c r="S383" s="10"/>
      <c r="T383" s="10"/>
      <c r="U383" s="13"/>
      <c r="V383" s="13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3"/>
      <c r="AL383" s="14"/>
      <c r="AM383" s="15"/>
      <c r="AN383" s="15"/>
      <c r="AO383" s="13"/>
      <c r="AP383" s="13"/>
      <c r="AQ383" s="16"/>
      <c r="AR383" s="10"/>
      <c r="AS383" s="10"/>
      <c r="AT383" s="10"/>
      <c r="AU383" s="10"/>
      <c r="AV383" s="11"/>
      <c r="AW383" s="11"/>
      <c r="AX383" s="10"/>
      <c r="AY383" s="11"/>
      <c r="AZ383" s="11"/>
      <c r="BA383" s="11"/>
      <c r="BB383" s="10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  <c r="BN383" s="11"/>
      <c r="BO383" s="11"/>
      <c r="BP383" s="11"/>
      <c r="BQ383" s="11"/>
      <c r="BR383" s="11"/>
      <c r="BS383" s="11"/>
      <c r="BT383" s="11"/>
      <c r="BU383" s="11"/>
      <c r="BV383" s="11"/>
      <c r="BW383" s="11"/>
      <c r="BX383" s="11"/>
      <c r="BY383" s="11"/>
      <c r="BZ383" s="11"/>
      <c r="CA383" s="11"/>
      <c r="CB383" s="11"/>
      <c r="CC383" s="17"/>
      <c r="CD383" s="17"/>
      <c r="CE383" s="11"/>
      <c r="CF383" s="13"/>
      <c r="CG383" s="13"/>
      <c r="CH383" s="13"/>
      <c r="CI383" s="13"/>
      <c r="CJ383" s="13"/>
    </row>
    <row r="384" spans="1:88" s="9" customFormat="1" x14ac:dyDescent="0.25">
      <c r="A384" s="10"/>
      <c r="B384" s="10"/>
      <c r="C384" s="10"/>
      <c r="D384" s="10"/>
      <c r="E384" s="11"/>
      <c r="F384" s="10"/>
      <c r="G384" s="10"/>
      <c r="H384" s="10"/>
      <c r="I384" s="10"/>
      <c r="J384" s="10"/>
      <c r="K384" s="12"/>
      <c r="L384" s="10"/>
      <c r="M384" s="10"/>
      <c r="N384" s="13"/>
      <c r="O384" s="10"/>
      <c r="P384" s="10"/>
      <c r="Q384" s="10"/>
      <c r="R384" s="18"/>
      <c r="S384" s="10"/>
      <c r="T384" s="10"/>
      <c r="U384" s="13"/>
      <c r="V384" s="13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3"/>
      <c r="AL384" s="14"/>
      <c r="AM384" s="15"/>
      <c r="AN384" s="15"/>
      <c r="AO384" s="13"/>
      <c r="AP384" s="13"/>
      <c r="AQ384" s="16"/>
      <c r="AR384" s="10"/>
      <c r="AS384" s="10"/>
      <c r="AT384" s="10"/>
      <c r="AU384" s="10"/>
      <c r="AV384" s="11"/>
      <c r="AW384" s="11"/>
      <c r="AX384" s="10"/>
      <c r="AY384" s="11"/>
      <c r="AZ384" s="11"/>
      <c r="BA384" s="11"/>
      <c r="BB384" s="10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  <c r="BN384" s="11"/>
      <c r="BO384" s="11"/>
      <c r="BP384" s="11"/>
      <c r="BQ384" s="11"/>
      <c r="BR384" s="11"/>
      <c r="BS384" s="11"/>
      <c r="BT384" s="11"/>
      <c r="BU384" s="11"/>
      <c r="BV384" s="11"/>
      <c r="BW384" s="11"/>
      <c r="BX384" s="11"/>
      <c r="BY384" s="11"/>
      <c r="BZ384" s="11"/>
      <c r="CA384" s="11"/>
      <c r="CB384" s="11"/>
      <c r="CC384" s="17"/>
      <c r="CD384" s="17"/>
      <c r="CE384" s="11"/>
      <c r="CF384" s="13"/>
      <c r="CG384" s="13"/>
      <c r="CH384" s="13"/>
      <c r="CI384" s="13"/>
      <c r="CJ384" s="13"/>
    </row>
    <row r="385" spans="1:88" s="9" customFormat="1" x14ac:dyDescent="0.25">
      <c r="A385" s="10"/>
      <c r="B385" s="10"/>
      <c r="C385" s="10"/>
      <c r="D385" s="10"/>
      <c r="E385" s="11"/>
      <c r="F385" s="10"/>
      <c r="G385" s="10"/>
      <c r="H385" s="10"/>
      <c r="I385" s="10"/>
      <c r="J385" s="10"/>
      <c r="K385" s="12"/>
      <c r="L385" s="10"/>
      <c r="M385" s="10"/>
      <c r="N385" s="13"/>
      <c r="O385" s="10"/>
      <c r="P385" s="10"/>
      <c r="Q385" s="10"/>
      <c r="R385" s="18"/>
      <c r="S385" s="10"/>
      <c r="T385" s="10"/>
      <c r="U385" s="13"/>
      <c r="V385" s="13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3"/>
      <c r="AL385" s="14"/>
      <c r="AM385" s="15"/>
      <c r="AN385" s="15"/>
      <c r="AO385" s="13"/>
      <c r="AP385" s="13"/>
      <c r="AQ385" s="16"/>
      <c r="AR385" s="10"/>
      <c r="AS385" s="10"/>
      <c r="AT385" s="10"/>
      <c r="AU385" s="10"/>
      <c r="AV385" s="11"/>
      <c r="AW385" s="11"/>
      <c r="AX385" s="10"/>
      <c r="AY385" s="11"/>
      <c r="AZ385" s="11"/>
      <c r="BA385" s="11"/>
      <c r="BB385" s="10"/>
      <c r="BC385" s="11"/>
      <c r="BD385" s="11"/>
      <c r="BE385" s="11"/>
      <c r="BF385" s="11"/>
      <c r="BG385" s="11"/>
      <c r="BH385" s="11"/>
      <c r="BI385" s="11"/>
      <c r="BJ385" s="11"/>
      <c r="BK385" s="11"/>
      <c r="BL385" s="11"/>
      <c r="BM385" s="11"/>
      <c r="BN385" s="11"/>
      <c r="BO385" s="11"/>
      <c r="BP385" s="11"/>
      <c r="BQ385" s="11"/>
      <c r="BR385" s="11"/>
      <c r="BS385" s="11"/>
      <c r="BT385" s="11"/>
      <c r="BU385" s="11"/>
      <c r="BV385" s="11"/>
      <c r="BW385" s="11"/>
      <c r="BX385" s="11"/>
      <c r="BY385" s="11"/>
      <c r="BZ385" s="11"/>
      <c r="CA385" s="11"/>
      <c r="CB385" s="11"/>
      <c r="CC385" s="17"/>
      <c r="CD385" s="17"/>
      <c r="CE385" s="11"/>
      <c r="CF385" s="13"/>
      <c r="CG385" s="13"/>
      <c r="CH385" s="13"/>
      <c r="CI385" s="13"/>
      <c r="CJ385" s="13"/>
    </row>
    <row r="386" spans="1:88" s="9" customFormat="1" x14ac:dyDescent="0.25">
      <c r="A386" s="10"/>
      <c r="B386" s="10"/>
      <c r="C386" s="10"/>
      <c r="D386" s="10"/>
      <c r="E386" s="11"/>
      <c r="F386" s="10"/>
      <c r="G386" s="10"/>
      <c r="H386" s="10"/>
      <c r="I386" s="10"/>
      <c r="J386" s="10"/>
      <c r="K386" s="12"/>
      <c r="L386" s="10"/>
      <c r="M386" s="10"/>
      <c r="N386" s="13"/>
      <c r="O386" s="10"/>
      <c r="P386" s="10"/>
      <c r="Q386" s="10"/>
      <c r="R386" s="18"/>
      <c r="S386" s="10"/>
      <c r="T386" s="10"/>
      <c r="U386" s="13"/>
      <c r="V386" s="13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3"/>
      <c r="AL386" s="14"/>
      <c r="AM386" s="15"/>
      <c r="AN386" s="15"/>
      <c r="AO386" s="13"/>
      <c r="AP386" s="13"/>
      <c r="AQ386" s="16"/>
      <c r="AR386" s="10"/>
      <c r="AS386" s="10"/>
      <c r="AT386" s="10"/>
      <c r="AU386" s="10"/>
      <c r="AV386" s="11"/>
      <c r="AW386" s="11"/>
      <c r="AX386" s="10"/>
      <c r="AY386" s="11"/>
      <c r="AZ386" s="11"/>
      <c r="BA386" s="11"/>
      <c r="BB386" s="10"/>
      <c r="BC386" s="11"/>
      <c r="BD386" s="11"/>
      <c r="BE386" s="11"/>
      <c r="BF386" s="11"/>
      <c r="BG386" s="11"/>
      <c r="BH386" s="11"/>
      <c r="BI386" s="11"/>
      <c r="BJ386" s="11"/>
      <c r="BK386" s="11"/>
      <c r="BL386" s="11"/>
      <c r="BM386" s="11"/>
      <c r="BN386" s="11"/>
      <c r="BO386" s="11"/>
      <c r="BP386" s="11"/>
      <c r="BQ386" s="11"/>
      <c r="BR386" s="11"/>
      <c r="BS386" s="11"/>
      <c r="BT386" s="11"/>
      <c r="BU386" s="11"/>
      <c r="BV386" s="11"/>
      <c r="BW386" s="11"/>
      <c r="BX386" s="11"/>
      <c r="BY386" s="11"/>
      <c r="BZ386" s="11"/>
      <c r="CA386" s="11"/>
      <c r="CB386" s="11"/>
      <c r="CC386" s="17"/>
      <c r="CD386" s="17"/>
      <c r="CE386" s="11"/>
      <c r="CF386" s="13"/>
      <c r="CG386" s="13"/>
      <c r="CH386" s="13"/>
      <c r="CI386" s="13"/>
      <c r="CJ386" s="13"/>
    </row>
    <row r="387" spans="1:88" s="9" customFormat="1" x14ac:dyDescent="0.25">
      <c r="A387" s="10"/>
      <c r="B387" s="10"/>
      <c r="C387" s="10"/>
      <c r="D387" s="10"/>
      <c r="E387" s="11"/>
      <c r="F387" s="10"/>
      <c r="G387" s="10"/>
      <c r="H387" s="10"/>
      <c r="I387" s="10"/>
      <c r="J387" s="10"/>
      <c r="K387" s="12"/>
      <c r="L387" s="10"/>
      <c r="M387" s="10"/>
      <c r="N387" s="13"/>
      <c r="O387" s="10"/>
      <c r="P387" s="10"/>
      <c r="Q387" s="10"/>
      <c r="R387" s="18"/>
      <c r="S387" s="10"/>
      <c r="T387" s="10"/>
      <c r="U387" s="13"/>
      <c r="V387" s="13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3"/>
      <c r="AL387" s="14"/>
      <c r="AM387" s="15"/>
      <c r="AN387" s="15"/>
      <c r="AO387" s="13"/>
      <c r="AP387" s="13"/>
      <c r="AQ387" s="16"/>
      <c r="AR387" s="10"/>
      <c r="AS387" s="10"/>
      <c r="AT387" s="10"/>
      <c r="AU387" s="10"/>
      <c r="AV387" s="11"/>
      <c r="AW387" s="11"/>
      <c r="AX387" s="10"/>
      <c r="AY387" s="11"/>
      <c r="AZ387" s="11"/>
      <c r="BA387" s="11"/>
      <c r="BB387" s="10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  <c r="BN387" s="11"/>
      <c r="BO387" s="11"/>
      <c r="BP387" s="11"/>
      <c r="BQ387" s="11"/>
      <c r="BR387" s="11"/>
      <c r="BS387" s="11"/>
      <c r="BT387" s="11"/>
      <c r="BU387" s="11"/>
      <c r="BV387" s="11"/>
      <c r="BW387" s="11"/>
      <c r="BX387" s="11"/>
      <c r="BY387" s="11"/>
      <c r="BZ387" s="11"/>
      <c r="CA387" s="11"/>
      <c r="CB387" s="11"/>
      <c r="CC387" s="17"/>
      <c r="CD387" s="17"/>
      <c r="CE387" s="11"/>
      <c r="CF387" s="13"/>
      <c r="CG387" s="13"/>
      <c r="CH387" s="13"/>
      <c r="CI387" s="13"/>
      <c r="CJ387" s="13"/>
    </row>
    <row r="388" spans="1:88" s="9" customFormat="1" x14ac:dyDescent="0.25">
      <c r="A388" s="10"/>
      <c r="B388" s="10"/>
      <c r="C388" s="10"/>
      <c r="D388" s="10"/>
      <c r="E388" s="11"/>
      <c r="F388" s="10"/>
      <c r="G388" s="10"/>
      <c r="H388" s="10"/>
      <c r="I388" s="10"/>
      <c r="J388" s="10"/>
      <c r="K388" s="12"/>
      <c r="L388" s="10"/>
      <c r="M388" s="10"/>
      <c r="N388" s="13"/>
      <c r="O388" s="10"/>
      <c r="P388" s="10"/>
      <c r="Q388" s="10"/>
      <c r="R388" s="18"/>
      <c r="S388" s="10"/>
      <c r="T388" s="10"/>
      <c r="U388" s="13"/>
      <c r="V388" s="13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3"/>
      <c r="AL388" s="14"/>
      <c r="AM388" s="15"/>
      <c r="AN388" s="15"/>
      <c r="AO388" s="13"/>
      <c r="AP388" s="13"/>
      <c r="AQ388" s="16"/>
      <c r="AR388" s="10"/>
      <c r="AS388" s="10"/>
      <c r="AT388" s="10"/>
      <c r="AU388" s="10"/>
      <c r="AV388" s="11"/>
      <c r="AW388" s="11"/>
      <c r="AX388" s="10"/>
      <c r="AY388" s="11"/>
      <c r="AZ388" s="11"/>
      <c r="BA388" s="11"/>
      <c r="BB388" s="10"/>
      <c r="BC388" s="11"/>
      <c r="BD388" s="11"/>
      <c r="BE388" s="11"/>
      <c r="BF388" s="11"/>
      <c r="BG388" s="11"/>
      <c r="BH388" s="11"/>
      <c r="BI388" s="11"/>
      <c r="BJ388" s="11"/>
      <c r="BK388" s="11"/>
      <c r="BL388" s="11"/>
      <c r="BM388" s="11"/>
      <c r="BN388" s="11"/>
      <c r="BO388" s="11"/>
      <c r="BP388" s="11"/>
      <c r="BQ388" s="11"/>
      <c r="BR388" s="11"/>
      <c r="BS388" s="11"/>
      <c r="BT388" s="11"/>
      <c r="BU388" s="11"/>
      <c r="BV388" s="11"/>
      <c r="BW388" s="11"/>
      <c r="BX388" s="11"/>
      <c r="BY388" s="11"/>
      <c r="BZ388" s="11"/>
      <c r="CA388" s="11"/>
      <c r="CB388" s="11"/>
      <c r="CC388" s="17"/>
      <c r="CD388" s="17"/>
      <c r="CE388" s="11"/>
      <c r="CF388" s="13"/>
      <c r="CG388" s="13"/>
      <c r="CH388" s="13"/>
      <c r="CI388" s="13"/>
      <c r="CJ388" s="13"/>
    </row>
    <row r="389" spans="1:88" s="9" customFormat="1" x14ac:dyDescent="0.25">
      <c r="A389" s="10"/>
      <c r="B389" s="10"/>
      <c r="C389" s="10"/>
      <c r="D389" s="10"/>
      <c r="E389" s="11"/>
      <c r="F389" s="10"/>
      <c r="G389" s="10"/>
      <c r="H389" s="10"/>
      <c r="I389" s="10"/>
      <c r="J389" s="10"/>
      <c r="K389" s="12"/>
      <c r="L389" s="10"/>
      <c r="M389" s="10"/>
      <c r="N389" s="13"/>
      <c r="O389" s="10"/>
      <c r="P389" s="10"/>
      <c r="Q389" s="10"/>
      <c r="R389" s="18"/>
      <c r="S389" s="10"/>
      <c r="T389" s="10"/>
      <c r="U389" s="13"/>
      <c r="V389" s="13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3"/>
      <c r="AL389" s="14"/>
      <c r="AM389" s="15"/>
      <c r="AN389" s="15"/>
      <c r="AO389" s="13"/>
      <c r="AP389" s="13"/>
      <c r="AQ389" s="16"/>
      <c r="AR389" s="10"/>
      <c r="AS389" s="10"/>
      <c r="AT389" s="10"/>
      <c r="AU389" s="10"/>
      <c r="AV389" s="11"/>
      <c r="AW389" s="11"/>
      <c r="AX389" s="10"/>
      <c r="AY389" s="11"/>
      <c r="AZ389" s="11"/>
      <c r="BA389" s="11"/>
      <c r="BB389" s="10"/>
      <c r="BC389" s="11"/>
      <c r="BD389" s="11"/>
      <c r="BE389" s="11"/>
      <c r="BF389" s="11"/>
      <c r="BG389" s="11"/>
      <c r="BH389" s="11"/>
      <c r="BI389" s="11"/>
      <c r="BJ389" s="11"/>
      <c r="BK389" s="11"/>
      <c r="BL389" s="11"/>
      <c r="BM389" s="11"/>
      <c r="BN389" s="11"/>
      <c r="BO389" s="11"/>
      <c r="BP389" s="11"/>
      <c r="BQ389" s="11"/>
      <c r="BR389" s="11"/>
      <c r="BS389" s="11"/>
      <c r="BT389" s="11"/>
      <c r="BU389" s="11"/>
      <c r="BV389" s="11"/>
      <c r="BW389" s="11"/>
      <c r="BX389" s="11"/>
      <c r="BY389" s="11"/>
      <c r="BZ389" s="11"/>
      <c r="CA389" s="11"/>
      <c r="CB389" s="11"/>
      <c r="CC389" s="17"/>
      <c r="CD389" s="17"/>
      <c r="CE389" s="11"/>
      <c r="CF389" s="13"/>
      <c r="CG389" s="13"/>
      <c r="CH389" s="13"/>
      <c r="CI389" s="13"/>
      <c r="CJ389" s="13"/>
    </row>
    <row r="390" spans="1:88" s="9" customFormat="1" x14ac:dyDescent="0.25">
      <c r="A390" s="10"/>
      <c r="B390" s="10"/>
      <c r="C390" s="10"/>
      <c r="D390" s="10"/>
      <c r="E390" s="11"/>
      <c r="F390" s="10"/>
      <c r="G390" s="10"/>
      <c r="H390" s="10"/>
      <c r="I390" s="10"/>
      <c r="J390" s="10"/>
      <c r="K390" s="12"/>
      <c r="L390" s="10"/>
      <c r="M390" s="10"/>
      <c r="N390" s="13"/>
      <c r="O390" s="10"/>
      <c r="P390" s="10"/>
      <c r="Q390" s="10"/>
      <c r="R390" s="18"/>
      <c r="S390" s="10"/>
      <c r="T390" s="10"/>
      <c r="U390" s="13"/>
      <c r="V390" s="13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3"/>
      <c r="AL390" s="14"/>
      <c r="AM390" s="15"/>
      <c r="AN390" s="15"/>
      <c r="AO390" s="13"/>
      <c r="AP390" s="13"/>
      <c r="AQ390" s="16"/>
      <c r="AR390" s="10"/>
      <c r="AS390" s="10"/>
      <c r="AT390" s="10"/>
      <c r="AU390" s="10"/>
      <c r="AV390" s="11"/>
      <c r="AW390" s="11"/>
      <c r="AX390" s="10"/>
      <c r="AY390" s="11"/>
      <c r="AZ390" s="11"/>
      <c r="BA390" s="11"/>
      <c r="BB390" s="10"/>
      <c r="BC390" s="11"/>
      <c r="BD390" s="11"/>
      <c r="BE390" s="11"/>
      <c r="BF390" s="11"/>
      <c r="BG390" s="11"/>
      <c r="BH390" s="11"/>
      <c r="BI390" s="11"/>
      <c r="BJ390" s="11"/>
      <c r="BK390" s="11"/>
      <c r="BL390" s="11"/>
      <c r="BM390" s="11"/>
      <c r="BN390" s="11"/>
      <c r="BO390" s="11"/>
      <c r="BP390" s="11"/>
      <c r="BQ390" s="11"/>
      <c r="BR390" s="11"/>
      <c r="BS390" s="11"/>
      <c r="BT390" s="11"/>
      <c r="BU390" s="11"/>
      <c r="BV390" s="11"/>
      <c r="BW390" s="11"/>
      <c r="BX390" s="11"/>
      <c r="BY390" s="11"/>
      <c r="BZ390" s="11"/>
      <c r="CA390" s="11"/>
      <c r="CB390" s="11"/>
      <c r="CC390" s="17"/>
      <c r="CD390" s="17"/>
      <c r="CE390" s="11"/>
      <c r="CF390" s="13"/>
      <c r="CG390" s="13"/>
      <c r="CH390" s="13"/>
      <c r="CI390" s="13"/>
      <c r="CJ390" s="13"/>
    </row>
    <row r="391" spans="1:88" s="9" customFormat="1" x14ac:dyDescent="0.25">
      <c r="A391" s="10"/>
      <c r="B391" s="10"/>
      <c r="C391" s="10"/>
      <c r="D391" s="10"/>
      <c r="E391" s="11"/>
      <c r="F391" s="10"/>
      <c r="G391" s="10"/>
      <c r="H391" s="10"/>
      <c r="I391" s="10"/>
      <c r="J391" s="10"/>
      <c r="K391" s="12"/>
      <c r="L391" s="10"/>
      <c r="M391" s="10"/>
      <c r="N391" s="13"/>
      <c r="O391" s="10"/>
      <c r="P391" s="10"/>
      <c r="Q391" s="10"/>
      <c r="R391" s="18"/>
      <c r="S391" s="10"/>
      <c r="T391" s="10"/>
      <c r="U391" s="13"/>
      <c r="V391" s="13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3"/>
      <c r="AL391" s="14"/>
      <c r="AM391" s="15"/>
      <c r="AN391" s="15"/>
      <c r="AO391" s="13"/>
      <c r="AP391" s="13"/>
      <c r="AQ391" s="16"/>
      <c r="AR391" s="10"/>
      <c r="AS391" s="10"/>
      <c r="AT391" s="10"/>
      <c r="AU391" s="10"/>
      <c r="AV391" s="11"/>
      <c r="AW391" s="11"/>
      <c r="AX391" s="10"/>
      <c r="AY391" s="11"/>
      <c r="AZ391" s="11"/>
      <c r="BA391" s="11"/>
      <c r="BB391" s="10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  <c r="BM391" s="11"/>
      <c r="BN391" s="11"/>
      <c r="BO391" s="11"/>
      <c r="BP391" s="11"/>
      <c r="BQ391" s="11"/>
      <c r="BR391" s="11"/>
      <c r="BS391" s="11"/>
      <c r="BT391" s="11"/>
      <c r="BU391" s="11"/>
      <c r="BV391" s="11"/>
      <c r="BW391" s="11"/>
      <c r="BX391" s="11"/>
      <c r="BY391" s="11"/>
      <c r="BZ391" s="11"/>
      <c r="CA391" s="11"/>
      <c r="CB391" s="11"/>
      <c r="CC391" s="17"/>
      <c r="CD391" s="17"/>
      <c r="CE391" s="11"/>
      <c r="CF391" s="13"/>
      <c r="CG391" s="13"/>
      <c r="CH391" s="13"/>
      <c r="CI391" s="13"/>
      <c r="CJ391" s="13"/>
    </row>
    <row r="392" spans="1:88" s="9" customFormat="1" x14ac:dyDescent="0.25">
      <c r="A392" s="10"/>
      <c r="B392" s="10"/>
      <c r="C392" s="10"/>
      <c r="D392" s="10"/>
      <c r="E392" s="11"/>
      <c r="F392" s="10"/>
      <c r="G392" s="10"/>
      <c r="H392" s="10"/>
      <c r="I392" s="10"/>
      <c r="J392" s="10"/>
      <c r="K392" s="12"/>
      <c r="L392" s="10"/>
      <c r="M392" s="10"/>
      <c r="N392" s="13"/>
      <c r="O392" s="10"/>
      <c r="P392" s="10"/>
      <c r="Q392" s="10"/>
      <c r="R392" s="18"/>
      <c r="S392" s="10"/>
      <c r="T392" s="10"/>
      <c r="U392" s="13"/>
      <c r="V392" s="13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3"/>
      <c r="AL392" s="14"/>
      <c r="AM392" s="15"/>
      <c r="AN392" s="15"/>
      <c r="AO392" s="13"/>
      <c r="AP392" s="13"/>
      <c r="AQ392" s="16"/>
      <c r="AR392" s="10"/>
      <c r="AS392" s="10"/>
      <c r="AT392" s="10"/>
      <c r="AU392" s="10"/>
      <c r="AV392" s="11"/>
      <c r="AW392" s="11"/>
      <c r="AX392" s="10"/>
      <c r="AY392" s="11"/>
      <c r="AZ392" s="11"/>
      <c r="BA392" s="11"/>
      <c r="BB392" s="10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  <c r="BM392" s="11"/>
      <c r="BN392" s="11"/>
      <c r="BO392" s="11"/>
      <c r="BP392" s="11"/>
      <c r="BQ392" s="11"/>
      <c r="BR392" s="11"/>
      <c r="BS392" s="11"/>
      <c r="BT392" s="11"/>
      <c r="BU392" s="11"/>
      <c r="BV392" s="11"/>
      <c r="BW392" s="11"/>
      <c r="BX392" s="11"/>
      <c r="BY392" s="11"/>
      <c r="BZ392" s="11"/>
      <c r="CA392" s="11"/>
      <c r="CB392" s="11"/>
      <c r="CC392" s="17"/>
      <c r="CD392" s="17"/>
      <c r="CE392" s="11"/>
      <c r="CF392" s="13"/>
      <c r="CG392" s="13"/>
      <c r="CH392" s="13"/>
      <c r="CI392" s="13"/>
      <c r="CJ392" s="13"/>
    </row>
    <row r="393" spans="1:88" s="9" customFormat="1" x14ac:dyDescent="0.25">
      <c r="A393" s="10"/>
      <c r="B393" s="10"/>
      <c r="C393" s="10"/>
      <c r="D393" s="10"/>
      <c r="E393" s="11"/>
      <c r="F393" s="10"/>
      <c r="G393" s="10"/>
      <c r="H393" s="10"/>
      <c r="I393" s="10"/>
      <c r="J393" s="10"/>
      <c r="K393" s="12"/>
      <c r="L393" s="10"/>
      <c r="M393" s="10"/>
      <c r="N393" s="13"/>
      <c r="O393" s="10"/>
      <c r="P393" s="10"/>
      <c r="Q393" s="10"/>
      <c r="R393" s="18"/>
      <c r="S393" s="10"/>
      <c r="T393" s="10"/>
      <c r="U393" s="13"/>
      <c r="V393" s="13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3"/>
      <c r="AL393" s="14"/>
      <c r="AM393" s="15"/>
      <c r="AN393" s="15"/>
      <c r="AO393" s="13"/>
      <c r="AP393" s="13"/>
      <c r="AQ393" s="16"/>
      <c r="AR393" s="10"/>
      <c r="AS393" s="10"/>
      <c r="AT393" s="10"/>
      <c r="AU393" s="10"/>
      <c r="AV393" s="11"/>
      <c r="AW393" s="11"/>
      <c r="AX393" s="10"/>
      <c r="AY393" s="11"/>
      <c r="AZ393" s="11"/>
      <c r="BA393" s="11"/>
      <c r="BB393" s="10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  <c r="BM393" s="11"/>
      <c r="BN393" s="11"/>
      <c r="BO393" s="11"/>
      <c r="BP393" s="11"/>
      <c r="BQ393" s="11"/>
      <c r="BR393" s="11"/>
      <c r="BS393" s="11"/>
      <c r="BT393" s="11"/>
      <c r="BU393" s="11"/>
      <c r="BV393" s="11"/>
      <c r="BW393" s="11"/>
      <c r="BX393" s="11"/>
      <c r="BY393" s="11"/>
      <c r="BZ393" s="11"/>
      <c r="CA393" s="11"/>
      <c r="CB393" s="11"/>
      <c r="CC393" s="17"/>
      <c r="CD393" s="17"/>
      <c r="CE393" s="11"/>
      <c r="CF393" s="13"/>
      <c r="CG393" s="13"/>
      <c r="CH393" s="13"/>
      <c r="CI393" s="13"/>
      <c r="CJ393" s="13"/>
    </row>
    <row r="394" spans="1:88" s="9" customFormat="1" x14ac:dyDescent="0.25">
      <c r="A394" s="10"/>
      <c r="B394" s="10"/>
      <c r="C394" s="10"/>
      <c r="D394" s="10"/>
      <c r="E394" s="11"/>
      <c r="F394" s="10"/>
      <c r="G394" s="10"/>
      <c r="H394" s="10"/>
      <c r="I394" s="10"/>
      <c r="J394" s="10"/>
      <c r="K394" s="12"/>
      <c r="L394" s="10"/>
      <c r="M394" s="10"/>
      <c r="N394" s="13"/>
      <c r="O394" s="10"/>
      <c r="P394" s="10"/>
      <c r="Q394" s="10"/>
      <c r="R394" s="18"/>
      <c r="S394" s="10"/>
      <c r="T394" s="10"/>
      <c r="U394" s="13"/>
      <c r="V394" s="13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3"/>
      <c r="AL394" s="14"/>
      <c r="AM394" s="15"/>
      <c r="AN394" s="15"/>
      <c r="AO394" s="13"/>
      <c r="AP394" s="13"/>
      <c r="AQ394" s="16"/>
      <c r="AR394" s="10"/>
      <c r="AS394" s="10"/>
      <c r="AT394" s="10"/>
      <c r="AU394" s="10"/>
      <c r="AV394" s="11"/>
      <c r="AW394" s="11"/>
      <c r="AX394" s="10"/>
      <c r="AY394" s="11"/>
      <c r="AZ394" s="11"/>
      <c r="BA394" s="11"/>
      <c r="BB394" s="10"/>
      <c r="BC394" s="11"/>
      <c r="BD394" s="11"/>
      <c r="BE394" s="11"/>
      <c r="BF394" s="11"/>
      <c r="BG394" s="11"/>
      <c r="BH394" s="11"/>
      <c r="BI394" s="11"/>
      <c r="BJ394" s="11"/>
      <c r="BK394" s="11"/>
      <c r="BL394" s="11"/>
      <c r="BM394" s="11"/>
      <c r="BN394" s="11"/>
      <c r="BO394" s="11"/>
      <c r="BP394" s="11"/>
      <c r="BQ394" s="11"/>
      <c r="BR394" s="11"/>
      <c r="BS394" s="11"/>
      <c r="BT394" s="11"/>
      <c r="BU394" s="11"/>
      <c r="BV394" s="11"/>
      <c r="BW394" s="11"/>
      <c r="BX394" s="11"/>
      <c r="BY394" s="11"/>
      <c r="BZ394" s="11"/>
      <c r="CA394" s="11"/>
      <c r="CB394" s="11"/>
      <c r="CC394" s="17"/>
      <c r="CD394" s="17"/>
      <c r="CE394" s="11"/>
      <c r="CF394" s="13"/>
      <c r="CG394" s="13"/>
      <c r="CH394" s="13"/>
      <c r="CI394" s="13"/>
      <c r="CJ394" s="13"/>
    </row>
    <row r="395" spans="1:88" s="9" customFormat="1" x14ac:dyDescent="0.25">
      <c r="A395" s="10"/>
      <c r="B395" s="10"/>
      <c r="C395" s="10"/>
      <c r="D395" s="10"/>
      <c r="E395" s="11"/>
      <c r="F395" s="10"/>
      <c r="G395" s="10"/>
      <c r="H395" s="10"/>
      <c r="I395" s="10"/>
      <c r="J395" s="10"/>
      <c r="K395" s="12"/>
      <c r="L395" s="10"/>
      <c r="M395" s="10"/>
      <c r="N395" s="13"/>
      <c r="O395" s="10"/>
      <c r="P395" s="10"/>
      <c r="Q395" s="10"/>
      <c r="R395" s="18"/>
      <c r="S395" s="10"/>
      <c r="T395" s="10"/>
      <c r="U395" s="13"/>
      <c r="V395" s="13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3"/>
      <c r="AL395" s="14"/>
      <c r="AM395" s="15"/>
      <c r="AN395" s="15"/>
      <c r="AO395" s="13"/>
      <c r="AP395" s="13"/>
      <c r="AQ395" s="16"/>
      <c r="AR395" s="10"/>
      <c r="AS395" s="10"/>
      <c r="AT395" s="10"/>
      <c r="AU395" s="10"/>
      <c r="AV395" s="11"/>
      <c r="AW395" s="11"/>
      <c r="AX395" s="10"/>
      <c r="AY395" s="11"/>
      <c r="AZ395" s="11"/>
      <c r="BA395" s="11"/>
      <c r="BB395" s="10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  <c r="BN395" s="11"/>
      <c r="BO395" s="11"/>
      <c r="BP395" s="11"/>
      <c r="BQ395" s="11"/>
      <c r="BR395" s="11"/>
      <c r="BS395" s="11"/>
      <c r="BT395" s="11"/>
      <c r="BU395" s="11"/>
      <c r="BV395" s="11"/>
      <c r="BW395" s="11"/>
      <c r="BX395" s="11"/>
      <c r="BY395" s="11"/>
      <c r="BZ395" s="11"/>
      <c r="CA395" s="11"/>
      <c r="CB395" s="11"/>
      <c r="CC395" s="17"/>
      <c r="CD395" s="17"/>
      <c r="CE395" s="11"/>
      <c r="CF395" s="13"/>
      <c r="CG395" s="13"/>
      <c r="CH395" s="13"/>
      <c r="CI395" s="13"/>
      <c r="CJ395" s="13"/>
    </row>
    <row r="396" spans="1:88" s="9" customFormat="1" x14ac:dyDescent="0.25">
      <c r="A396" s="10"/>
      <c r="B396" s="10"/>
      <c r="C396" s="10"/>
      <c r="D396" s="10"/>
      <c r="E396" s="11"/>
      <c r="F396" s="10"/>
      <c r="G396" s="10"/>
      <c r="H396" s="10"/>
      <c r="I396" s="10"/>
      <c r="J396" s="10"/>
      <c r="K396" s="12"/>
      <c r="L396" s="10"/>
      <c r="M396" s="10"/>
      <c r="N396" s="13"/>
      <c r="O396" s="10"/>
      <c r="P396" s="10"/>
      <c r="Q396" s="10"/>
      <c r="R396" s="18"/>
      <c r="S396" s="10"/>
      <c r="T396" s="10"/>
      <c r="U396" s="13"/>
      <c r="V396" s="13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3"/>
      <c r="AL396" s="14"/>
      <c r="AM396" s="15"/>
      <c r="AN396" s="15"/>
      <c r="AO396" s="13"/>
      <c r="AP396" s="13"/>
      <c r="AQ396" s="16"/>
      <c r="AR396" s="10"/>
      <c r="AS396" s="10"/>
      <c r="AT396" s="10"/>
      <c r="AU396" s="10"/>
      <c r="AV396" s="11"/>
      <c r="AW396" s="11"/>
      <c r="AX396" s="10"/>
      <c r="AY396" s="11"/>
      <c r="AZ396" s="11"/>
      <c r="BA396" s="11"/>
      <c r="BB396" s="10"/>
      <c r="BC396" s="11"/>
      <c r="BD396" s="11"/>
      <c r="BE396" s="11"/>
      <c r="BF396" s="11"/>
      <c r="BG396" s="11"/>
      <c r="BH396" s="11"/>
      <c r="BI396" s="11"/>
      <c r="BJ396" s="11"/>
      <c r="BK396" s="11"/>
      <c r="BL396" s="11"/>
      <c r="BM396" s="11"/>
      <c r="BN396" s="11"/>
      <c r="BO396" s="11"/>
      <c r="BP396" s="11"/>
      <c r="BQ396" s="11"/>
      <c r="BR396" s="11"/>
      <c r="BS396" s="11"/>
      <c r="BT396" s="11"/>
      <c r="BU396" s="11"/>
      <c r="BV396" s="11"/>
      <c r="BW396" s="11"/>
      <c r="BX396" s="11"/>
      <c r="BY396" s="11"/>
      <c r="BZ396" s="11"/>
      <c r="CA396" s="11"/>
      <c r="CB396" s="11"/>
      <c r="CC396" s="17"/>
      <c r="CD396" s="17"/>
      <c r="CE396" s="11"/>
      <c r="CF396" s="13"/>
      <c r="CG396" s="13"/>
      <c r="CH396" s="13"/>
      <c r="CI396" s="13"/>
      <c r="CJ396" s="13"/>
    </row>
    <row r="397" spans="1:88" s="9" customFormat="1" x14ac:dyDescent="0.25">
      <c r="A397" s="10"/>
      <c r="B397" s="10"/>
      <c r="C397" s="10"/>
      <c r="D397" s="10"/>
      <c r="E397" s="11"/>
      <c r="F397" s="10"/>
      <c r="G397" s="10"/>
      <c r="H397" s="10"/>
      <c r="I397" s="10"/>
      <c r="J397" s="10"/>
      <c r="K397" s="12"/>
      <c r="L397" s="10"/>
      <c r="M397" s="10"/>
      <c r="N397" s="13"/>
      <c r="O397" s="10"/>
      <c r="P397" s="10"/>
      <c r="Q397" s="10"/>
      <c r="R397" s="18"/>
      <c r="S397" s="10"/>
      <c r="T397" s="10"/>
      <c r="U397" s="13"/>
      <c r="V397" s="13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3"/>
      <c r="AL397" s="14"/>
      <c r="AM397" s="15"/>
      <c r="AN397" s="15"/>
      <c r="AO397" s="13"/>
      <c r="AP397" s="13"/>
      <c r="AQ397" s="16"/>
      <c r="AR397" s="10"/>
      <c r="AS397" s="10"/>
      <c r="AT397" s="10"/>
      <c r="AU397" s="10"/>
      <c r="AV397" s="11"/>
      <c r="AW397" s="11"/>
      <c r="AX397" s="10"/>
      <c r="AY397" s="11"/>
      <c r="AZ397" s="11"/>
      <c r="BA397" s="11"/>
      <c r="BB397" s="10"/>
      <c r="BC397" s="11"/>
      <c r="BD397" s="11"/>
      <c r="BE397" s="11"/>
      <c r="BF397" s="11"/>
      <c r="BG397" s="11"/>
      <c r="BH397" s="11"/>
      <c r="BI397" s="11"/>
      <c r="BJ397" s="11"/>
      <c r="BK397" s="11"/>
      <c r="BL397" s="11"/>
      <c r="BM397" s="11"/>
      <c r="BN397" s="11"/>
      <c r="BO397" s="11"/>
      <c r="BP397" s="11"/>
      <c r="BQ397" s="11"/>
      <c r="BR397" s="11"/>
      <c r="BS397" s="11"/>
      <c r="BT397" s="11"/>
      <c r="BU397" s="11"/>
      <c r="BV397" s="11"/>
      <c r="BW397" s="11"/>
      <c r="BX397" s="11"/>
      <c r="BY397" s="11"/>
      <c r="BZ397" s="11"/>
      <c r="CA397" s="11"/>
      <c r="CB397" s="11"/>
      <c r="CC397" s="17"/>
      <c r="CD397" s="17"/>
      <c r="CE397" s="11"/>
      <c r="CF397" s="13"/>
      <c r="CG397" s="13"/>
      <c r="CH397" s="13"/>
      <c r="CI397" s="13"/>
      <c r="CJ397" s="13"/>
    </row>
    <row r="398" spans="1:88" s="9" customFormat="1" x14ac:dyDescent="0.25">
      <c r="A398" s="10"/>
      <c r="B398" s="10"/>
      <c r="C398" s="10"/>
      <c r="D398" s="10"/>
      <c r="E398" s="11"/>
      <c r="F398" s="10"/>
      <c r="G398" s="10"/>
      <c r="H398" s="10"/>
      <c r="I398" s="10"/>
      <c r="J398" s="10"/>
      <c r="K398" s="12"/>
      <c r="L398" s="10"/>
      <c r="M398" s="10"/>
      <c r="N398" s="13"/>
      <c r="O398" s="10"/>
      <c r="P398" s="10"/>
      <c r="Q398" s="10"/>
      <c r="R398" s="18"/>
      <c r="S398" s="10"/>
      <c r="T398" s="10"/>
      <c r="U398" s="13"/>
      <c r="V398" s="13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3"/>
      <c r="AL398" s="14"/>
      <c r="AM398" s="15"/>
      <c r="AN398" s="15"/>
      <c r="AO398" s="13"/>
      <c r="AP398" s="13"/>
      <c r="AQ398" s="16"/>
      <c r="AR398" s="10"/>
      <c r="AS398" s="10"/>
      <c r="AT398" s="10"/>
      <c r="AU398" s="10"/>
      <c r="AV398" s="11"/>
      <c r="AW398" s="11"/>
      <c r="AX398" s="10"/>
      <c r="AY398" s="11"/>
      <c r="AZ398" s="11"/>
      <c r="BA398" s="11"/>
      <c r="BB398" s="10"/>
      <c r="BC398" s="11"/>
      <c r="BD398" s="11"/>
      <c r="BE398" s="11"/>
      <c r="BF398" s="11"/>
      <c r="BG398" s="11"/>
      <c r="BH398" s="11"/>
      <c r="BI398" s="11"/>
      <c r="BJ398" s="11"/>
      <c r="BK398" s="11"/>
      <c r="BL398" s="11"/>
      <c r="BM398" s="11"/>
      <c r="BN398" s="11"/>
      <c r="BO398" s="11"/>
      <c r="BP398" s="11"/>
      <c r="BQ398" s="11"/>
      <c r="BR398" s="11"/>
      <c r="BS398" s="11"/>
      <c r="BT398" s="11"/>
      <c r="BU398" s="11"/>
      <c r="BV398" s="11"/>
      <c r="BW398" s="11"/>
      <c r="BX398" s="11"/>
      <c r="BY398" s="11"/>
      <c r="BZ398" s="11"/>
      <c r="CA398" s="11"/>
      <c r="CB398" s="11"/>
      <c r="CC398" s="17"/>
      <c r="CD398" s="17"/>
      <c r="CE398" s="11"/>
      <c r="CF398" s="13"/>
      <c r="CG398" s="13"/>
      <c r="CH398" s="13"/>
      <c r="CI398" s="13"/>
      <c r="CJ398" s="13"/>
    </row>
    <row r="399" spans="1:88" s="9" customFormat="1" x14ac:dyDescent="0.25">
      <c r="A399" s="10"/>
      <c r="B399" s="10"/>
      <c r="C399" s="10"/>
      <c r="D399" s="10"/>
      <c r="E399" s="11"/>
      <c r="F399" s="10"/>
      <c r="G399" s="10"/>
      <c r="H399" s="10"/>
      <c r="I399" s="10"/>
      <c r="J399" s="10"/>
      <c r="K399" s="12"/>
      <c r="L399" s="10"/>
      <c r="M399" s="10"/>
      <c r="N399" s="13"/>
      <c r="O399" s="10"/>
      <c r="P399" s="10"/>
      <c r="Q399" s="10"/>
      <c r="R399" s="18"/>
      <c r="S399" s="10"/>
      <c r="T399" s="10"/>
      <c r="U399" s="13"/>
      <c r="V399" s="13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3"/>
      <c r="AL399" s="14"/>
      <c r="AM399" s="15"/>
      <c r="AN399" s="15"/>
      <c r="AO399" s="13"/>
      <c r="AP399" s="13"/>
      <c r="AQ399" s="16"/>
      <c r="AR399" s="10"/>
      <c r="AS399" s="10"/>
      <c r="AT399" s="10"/>
      <c r="AU399" s="10"/>
      <c r="AV399" s="11"/>
      <c r="AW399" s="11"/>
      <c r="AX399" s="10"/>
      <c r="AY399" s="11"/>
      <c r="AZ399" s="11"/>
      <c r="BA399" s="11"/>
      <c r="BB399" s="10"/>
      <c r="BC399" s="11"/>
      <c r="BD399" s="11"/>
      <c r="BE399" s="11"/>
      <c r="BF399" s="11"/>
      <c r="BG399" s="11"/>
      <c r="BH399" s="11"/>
      <c r="BI399" s="11"/>
      <c r="BJ399" s="11"/>
      <c r="BK399" s="11"/>
      <c r="BL399" s="11"/>
      <c r="BM399" s="11"/>
      <c r="BN399" s="11"/>
      <c r="BO399" s="11"/>
      <c r="BP399" s="11"/>
      <c r="BQ399" s="11"/>
      <c r="BR399" s="11"/>
      <c r="BS399" s="11"/>
      <c r="BT399" s="11"/>
      <c r="BU399" s="11"/>
      <c r="BV399" s="11"/>
      <c r="BW399" s="11"/>
      <c r="BX399" s="11"/>
      <c r="BY399" s="11"/>
      <c r="BZ399" s="11"/>
      <c r="CA399" s="11"/>
      <c r="CB399" s="11"/>
      <c r="CC399" s="17"/>
      <c r="CD399" s="17"/>
      <c r="CE399" s="11"/>
      <c r="CF399" s="13"/>
      <c r="CG399" s="13"/>
      <c r="CH399" s="13"/>
      <c r="CI399" s="13"/>
      <c r="CJ399" s="13"/>
    </row>
    <row r="400" spans="1:88" s="9" customFormat="1" x14ac:dyDescent="0.25">
      <c r="A400" s="10"/>
      <c r="B400" s="10"/>
      <c r="C400" s="10"/>
      <c r="D400" s="10"/>
      <c r="E400" s="11"/>
      <c r="F400" s="10"/>
      <c r="G400" s="10"/>
      <c r="H400" s="10"/>
      <c r="I400" s="10"/>
      <c r="J400" s="10"/>
      <c r="K400" s="12"/>
      <c r="L400" s="10"/>
      <c r="M400" s="10"/>
      <c r="N400" s="13"/>
      <c r="O400" s="10"/>
      <c r="P400" s="10"/>
      <c r="Q400" s="10"/>
      <c r="R400" s="18"/>
      <c r="S400" s="10"/>
      <c r="T400" s="10"/>
      <c r="U400" s="13"/>
      <c r="V400" s="13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3"/>
      <c r="AL400" s="14"/>
      <c r="AM400" s="15"/>
      <c r="AN400" s="15"/>
      <c r="AO400" s="13"/>
      <c r="AP400" s="13"/>
      <c r="AQ400" s="16"/>
      <c r="AR400" s="10"/>
      <c r="AS400" s="10"/>
      <c r="AT400" s="10"/>
      <c r="AU400" s="10"/>
      <c r="AV400" s="11"/>
      <c r="AW400" s="11"/>
      <c r="AX400" s="10"/>
      <c r="AY400" s="11"/>
      <c r="AZ400" s="11"/>
      <c r="BA400" s="11"/>
      <c r="BB400" s="10"/>
      <c r="BC400" s="11"/>
      <c r="BD400" s="11"/>
      <c r="BE400" s="11"/>
      <c r="BF400" s="11"/>
      <c r="BG400" s="11"/>
      <c r="BH400" s="11"/>
      <c r="BI400" s="11"/>
      <c r="BJ400" s="11"/>
      <c r="BK400" s="11"/>
      <c r="BL400" s="11"/>
      <c r="BM400" s="11"/>
      <c r="BN400" s="11"/>
      <c r="BO400" s="11"/>
      <c r="BP400" s="11"/>
      <c r="BQ400" s="11"/>
      <c r="BR400" s="11"/>
      <c r="BS400" s="11"/>
      <c r="BT400" s="11"/>
      <c r="BU400" s="11"/>
      <c r="BV400" s="11"/>
      <c r="BW400" s="11"/>
      <c r="BX400" s="11"/>
      <c r="BY400" s="11"/>
      <c r="BZ400" s="11"/>
      <c r="CA400" s="11"/>
      <c r="CB400" s="11"/>
      <c r="CC400" s="17"/>
      <c r="CD400" s="17"/>
      <c r="CE400" s="11"/>
      <c r="CF400" s="13"/>
      <c r="CG400" s="13"/>
      <c r="CH400" s="13"/>
      <c r="CI400" s="13"/>
      <c r="CJ400" s="13"/>
    </row>
    <row r="401" spans="1:88" s="9" customFormat="1" x14ac:dyDescent="0.25">
      <c r="A401" s="10"/>
      <c r="B401" s="10"/>
      <c r="C401" s="10"/>
      <c r="D401" s="10"/>
      <c r="E401" s="11"/>
      <c r="F401" s="10"/>
      <c r="G401" s="10"/>
      <c r="H401" s="10"/>
      <c r="I401" s="10"/>
      <c r="J401" s="10"/>
      <c r="K401" s="12"/>
      <c r="L401" s="10"/>
      <c r="M401" s="10"/>
      <c r="N401" s="13"/>
      <c r="O401" s="10"/>
      <c r="P401" s="10"/>
      <c r="Q401" s="10"/>
      <c r="R401" s="18"/>
      <c r="S401" s="10"/>
      <c r="T401" s="10"/>
      <c r="U401" s="13"/>
      <c r="V401" s="13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3"/>
      <c r="AL401" s="14"/>
      <c r="AM401" s="15"/>
      <c r="AN401" s="15"/>
      <c r="AO401" s="13"/>
      <c r="AP401" s="13"/>
      <c r="AQ401" s="16"/>
      <c r="AR401" s="10"/>
      <c r="AS401" s="10"/>
      <c r="AT401" s="10"/>
      <c r="AU401" s="10"/>
      <c r="AV401" s="11"/>
      <c r="AW401" s="11"/>
      <c r="AX401" s="10"/>
      <c r="AY401" s="11"/>
      <c r="AZ401" s="11"/>
      <c r="BA401" s="11"/>
      <c r="BB401" s="10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  <c r="BM401" s="11"/>
      <c r="BN401" s="11"/>
      <c r="BO401" s="11"/>
      <c r="BP401" s="11"/>
      <c r="BQ401" s="11"/>
      <c r="BR401" s="11"/>
      <c r="BS401" s="11"/>
      <c r="BT401" s="11"/>
      <c r="BU401" s="11"/>
      <c r="BV401" s="11"/>
      <c r="BW401" s="11"/>
      <c r="BX401" s="11"/>
      <c r="BY401" s="11"/>
      <c r="BZ401" s="11"/>
      <c r="CA401" s="11"/>
      <c r="CB401" s="11"/>
      <c r="CC401" s="17"/>
      <c r="CD401" s="17"/>
      <c r="CE401" s="11"/>
      <c r="CF401" s="13"/>
      <c r="CG401" s="13"/>
      <c r="CH401" s="13"/>
      <c r="CI401" s="13"/>
      <c r="CJ401" s="13"/>
    </row>
    <row r="402" spans="1:88" s="9" customFormat="1" x14ac:dyDescent="0.25">
      <c r="A402" s="10"/>
      <c r="B402" s="10"/>
      <c r="C402" s="10"/>
      <c r="D402" s="10"/>
      <c r="E402" s="11"/>
      <c r="F402" s="10"/>
      <c r="G402" s="10"/>
      <c r="H402" s="10"/>
      <c r="I402" s="10"/>
      <c r="J402" s="10"/>
      <c r="K402" s="12"/>
      <c r="L402" s="10"/>
      <c r="M402" s="10"/>
      <c r="N402" s="13"/>
      <c r="O402" s="10"/>
      <c r="P402" s="10"/>
      <c r="Q402" s="10"/>
      <c r="R402" s="18"/>
      <c r="S402" s="10"/>
      <c r="T402" s="10"/>
      <c r="U402" s="13"/>
      <c r="V402" s="13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3"/>
      <c r="AL402" s="14"/>
      <c r="AM402" s="15"/>
      <c r="AN402" s="15"/>
      <c r="AO402" s="13"/>
      <c r="AP402" s="13"/>
      <c r="AQ402" s="16"/>
      <c r="AR402" s="10"/>
      <c r="AS402" s="10"/>
      <c r="AT402" s="10"/>
      <c r="AU402" s="10"/>
      <c r="AV402" s="11"/>
      <c r="AW402" s="11"/>
      <c r="AX402" s="10"/>
      <c r="AY402" s="11"/>
      <c r="AZ402" s="11"/>
      <c r="BA402" s="11"/>
      <c r="BB402" s="10"/>
      <c r="BC402" s="11"/>
      <c r="BD402" s="11"/>
      <c r="BE402" s="11"/>
      <c r="BF402" s="11"/>
      <c r="BG402" s="11"/>
      <c r="BH402" s="11"/>
      <c r="BI402" s="11"/>
      <c r="BJ402" s="11"/>
      <c r="BK402" s="11"/>
      <c r="BL402" s="11"/>
      <c r="BM402" s="11"/>
      <c r="BN402" s="11"/>
      <c r="BO402" s="11"/>
      <c r="BP402" s="11"/>
      <c r="BQ402" s="11"/>
      <c r="BR402" s="11"/>
      <c r="BS402" s="11"/>
      <c r="BT402" s="11"/>
      <c r="BU402" s="11"/>
      <c r="BV402" s="11"/>
      <c r="BW402" s="11"/>
      <c r="BX402" s="11"/>
      <c r="BY402" s="11"/>
      <c r="BZ402" s="11"/>
      <c r="CA402" s="11"/>
      <c r="CB402" s="11"/>
      <c r="CC402" s="17"/>
      <c r="CD402" s="17"/>
      <c r="CE402" s="11"/>
      <c r="CF402" s="13"/>
      <c r="CG402" s="13"/>
      <c r="CH402" s="13"/>
      <c r="CI402" s="13"/>
      <c r="CJ402" s="13"/>
    </row>
    <row r="403" spans="1:88" s="9" customFormat="1" x14ac:dyDescent="0.25">
      <c r="A403" s="10"/>
      <c r="B403" s="10"/>
      <c r="C403" s="10"/>
      <c r="D403" s="10"/>
      <c r="E403" s="11"/>
      <c r="F403" s="10"/>
      <c r="G403" s="10"/>
      <c r="H403" s="10"/>
      <c r="I403" s="10"/>
      <c r="J403" s="10"/>
      <c r="K403" s="12"/>
      <c r="L403" s="10"/>
      <c r="M403" s="10"/>
      <c r="N403" s="13"/>
      <c r="O403" s="10"/>
      <c r="P403" s="10"/>
      <c r="Q403" s="10"/>
      <c r="R403" s="18"/>
      <c r="S403" s="10"/>
      <c r="T403" s="10"/>
      <c r="U403" s="13"/>
      <c r="V403" s="13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3"/>
      <c r="AL403" s="14"/>
      <c r="AM403" s="15"/>
      <c r="AN403" s="15"/>
      <c r="AO403" s="13"/>
      <c r="AP403" s="13"/>
      <c r="AQ403" s="16"/>
      <c r="AR403" s="10"/>
      <c r="AS403" s="10"/>
      <c r="AT403" s="10"/>
      <c r="AU403" s="10"/>
      <c r="AV403" s="11"/>
      <c r="AW403" s="11"/>
      <c r="AX403" s="10"/>
      <c r="AY403" s="11"/>
      <c r="AZ403" s="11"/>
      <c r="BA403" s="11"/>
      <c r="BB403" s="10"/>
      <c r="BC403" s="11"/>
      <c r="BD403" s="11"/>
      <c r="BE403" s="11"/>
      <c r="BF403" s="11"/>
      <c r="BG403" s="11"/>
      <c r="BH403" s="11"/>
      <c r="BI403" s="11"/>
      <c r="BJ403" s="11"/>
      <c r="BK403" s="11"/>
      <c r="BL403" s="11"/>
      <c r="BM403" s="11"/>
      <c r="BN403" s="11"/>
      <c r="BO403" s="11"/>
      <c r="BP403" s="11"/>
      <c r="BQ403" s="11"/>
      <c r="BR403" s="11"/>
      <c r="BS403" s="11"/>
      <c r="BT403" s="11"/>
      <c r="BU403" s="11"/>
      <c r="BV403" s="11"/>
      <c r="BW403" s="11"/>
      <c r="BX403" s="11"/>
      <c r="BY403" s="11"/>
      <c r="BZ403" s="11"/>
      <c r="CA403" s="11"/>
      <c r="CB403" s="11"/>
      <c r="CC403" s="17"/>
      <c r="CD403" s="17"/>
      <c r="CE403" s="11"/>
      <c r="CF403" s="13"/>
      <c r="CG403" s="13"/>
      <c r="CH403" s="13"/>
      <c r="CI403" s="13"/>
      <c r="CJ403" s="13"/>
    </row>
    <row r="404" spans="1:88" s="9" customFormat="1" x14ac:dyDescent="0.25">
      <c r="A404" s="10"/>
      <c r="B404" s="10"/>
      <c r="C404" s="10"/>
      <c r="D404" s="10"/>
      <c r="E404" s="11"/>
      <c r="F404" s="10"/>
      <c r="G404" s="10"/>
      <c r="H404" s="10"/>
      <c r="I404" s="10"/>
      <c r="J404" s="10"/>
      <c r="K404" s="12"/>
      <c r="L404" s="10"/>
      <c r="M404" s="10"/>
      <c r="N404" s="13"/>
      <c r="O404" s="10"/>
      <c r="P404" s="10"/>
      <c r="Q404" s="10"/>
      <c r="R404" s="18"/>
      <c r="S404" s="10"/>
      <c r="T404" s="10"/>
      <c r="U404" s="13"/>
      <c r="V404" s="13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3"/>
      <c r="AL404" s="14"/>
      <c r="AM404" s="15"/>
      <c r="AN404" s="15"/>
      <c r="AO404" s="13"/>
      <c r="AP404" s="13"/>
      <c r="AQ404" s="16"/>
      <c r="AR404" s="10"/>
      <c r="AS404" s="10"/>
      <c r="AT404" s="10"/>
      <c r="AU404" s="10"/>
      <c r="AV404" s="11"/>
      <c r="AW404" s="11"/>
      <c r="AX404" s="10"/>
      <c r="AY404" s="11"/>
      <c r="AZ404" s="11"/>
      <c r="BA404" s="11"/>
      <c r="BB404" s="10"/>
      <c r="BC404" s="11"/>
      <c r="BD404" s="11"/>
      <c r="BE404" s="11"/>
      <c r="BF404" s="11"/>
      <c r="BG404" s="11"/>
      <c r="BH404" s="11"/>
      <c r="BI404" s="11"/>
      <c r="BJ404" s="11"/>
      <c r="BK404" s="11"/>
      <c r="BL404" s="11"/>
      <c r="BM404" s="11"/>
      <c r="BN404" s="11"/>
      <c r="BO404" s="11"/>
      <c r="BP404" s="11"/>
      <c r="BQ404" s="11"/>
      <c r="BR404" s="11"/>
      <c r="BS404" s="11"/>
      <c r="BT404" s="11"/>
      <c r="BU404" s="11"/>
      <c r="BV404" s="11"/>
      <c r="BW404" s="11"/>
      <c r="BX404" s="11"/>
      <c r="BY404" s="11"/>
      <c r="BZ404" s="11"/>
      <c r="CA404" s="11"/>
      <c r="CB404" s="11"/>
      <c r="CC404" s="17"/>
      <c r="CD404" s="17"/>
      <c r="CE404" s="11"/>
      <c r="CF404" s="13"/>
      <c r="CG404" s="13"/>
      <c r="CH404" s="13"/>
      <c r="CI404" s="13"/>
      <c r="CJ404" s="13"/>
    </row>
    <row r="405" spans="1:88" s="9" customFormat="1" x14ac:dyDescent="0.25">
      <c r="A405" s="10"/>
      <c r="B405" s="10"/>
      <c r="C405" s="10"/>
      <c r="D405" s="10"/>
      <c r="E405" s="11"/>
      <c r="F405" s="10"/>
      <c r="G405" s="10"/>
      <c r="H405" s="10"/>
      <c r="I405" s="10"/>
      <c r="J405" s="10"/>
      <c r="K405" s="12"/>
      <c r="L405" s="10"/>
      <c r="M405" s="10"/>
      <c r="N405" s="13"/>
      <c r="O405" s="10"/>
      <c r="P405" s="10"/>
      <c r="Q405" s="10"/>
      <c r="R405" s="18"/>
      <c r="S405" s="10"/>
      <c r="T405" s="10"/>
      <c r="U405" s="13"/>
      <c r="V405" s="13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3"/>
      <c r="AL405" s="14"/>
      <c r="AM405" s="15"/>
      <c r="AN405" s="15"/>
      <c r="AO405" s="13"/>
      <c r="AP405" s="13"/>
      <c r="AQ405" s="16"/>
      <c r="AR405" s="10"/>
      <c r="AS405" s="10"/>
      <c r="AT405" s="10"/>
      <c r="AU405" s="10"/>
      <c r="AV405" s="11"/>
      <c r="AW405" s="11"/>
      <c r="AX405" s="10"/>
      <c r="AY405" s="11"/>
      <c r="AZ405" s="11"/>
      <c r="BA405" s="11"/>
      <c r="BB405" s="10"/>
      <c r="BC405" s="11"/>
      <c r="BD405" s="11"/>
      <c r="BE405" s="11"/>
      <c r="BF405" s="11"/>
      <c r="BG405" s="11"/>
      <c r="BH405" s="11"/>
      <c r="BI405" s="11"/>
      <c r="BJ405" s="11"/>
      <c r="BK405" s="11"/>
      <c r="BL405" s="11"/>
      <c r="BM405" s="11"/>
      <c r="BN405" s="11"/>
      <c r="BO405" s="11"/>
      <c r="BP405" s="11"/>
      <c r="BQ405" s="11"/>
      <c r="BR405" s="11"/>
      <c r="BS405" s="11"/>
      <c r="BT405" s="11"/>
      <c r="BU405" s="11"/>
      <c r="BV405" s="11"/>
      <c r="BW405" s="11"/>
      <c r="BX405" s="11"/>
      <c r="BY405" s="11"/>
      <c r="BZ405" s="11"/>
      <c r="CA405" s="11"/>
      <c r="CB405" s="11"/>
      <c r="CC405" s="17"/>
      <c r="CD405" s="17"/>
      <c r="CE405" s="11"/>
      <c r="CF405" s="13"/>
      <c r="CG405" s="13"/>
      <c r="CH405" s="13"/>
      <c r="CI405" s="13"/>
      <c r="CJ405" s="13"/>
    </row>
    <row r="406" spans="1:88" s="9" customFormat="1" x14ac:dyDescent="0.25">
      <c r="A406" s="10"/>
      <c r="B406" s="10"/>
      <c r="C406" s="10"/>
      <c r="D406" s="10"/>
      <c r="E406" s="11"/>
      <c r="F406" s="10"/>
      <c r="G406" s="10"/>
      <c r="H406" s="10"/>
      <c r="I406" s="10"/>
      <c r="J406" s="10"/>
      <c r="K406" s="12"/>
      <c r="L406" s="10"/>
      <c r="M406" s="10"/>
      <c r="N406" s="13"/>
      <c r="O406" s="10"/>
      <c r="P406" s="10"/>
      <c r="Q406" s="10"/>
      <c r="R406" s="18"/>
      <c r="S406" s="10"/>
      <c r="T406" s="10"/>
      <c r="U406" s="13"/>
      <c r="V406" s="13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3"/>
      <c r="AL406" s="14"/>
      <c r="AM406" s="15"/>
      <c r="AN406" s="15"/>
      <c r="AO406" s="13"/>
      <c r="AP406" s="13"/>
      <c r="AQ406" s="16"/>
      <c r="AR406" s="10"/>
      <c r="AS406" s="10"/>
      <c r="AT406" s="10"/>
      <c r="AU406" s="10"/>
      <c r="AV406" s="11"/>
      <c r="AW406" s="11"/>
      <c r="AX406" s="10"/>
      <c r="AY406" s="11"/>
      <c r="AZ406" s="11"/>
      <c r="BA406" s="11"/>
      <c r="BB406" s="10"/>
      <c r="BC406" s="11"/>
      <c r="BD406" s="11"/>
      <c r="BE406" s="11"/>
      <c r="BF406" s="11"/>
      <c r="BG406" s="11"/>
      <c r="BH406" s="11"/>
      <c r="BI406" s="11"/>
      <c r="BJ406" s="11"/>
      <c r="BK406" s="11"/>
      <c r="BL406" s="11"/>
      <c r="BM406" s="11"/>
      <c r="BN406" s="11"/>
      <c r="BO406" s="11"/>
      <c r="BP406" s="11"/>
      <c r="BQ406" s="11"/>
      <c r="BR406" s="11"/>
      <c r="BS406" s="11"/>
      <c r="BT406" s="11"/>
      <c r="BU406" s="11"/>
      <c r="BV406" s="11"/>
      <c r="BW406" s="11"/>
      <c r="BX406" s="11"/>
      <c r="BY406" s="11"/>
      <c r="BZ406" s="11"/>
      <c r="CA406" s="11"/>
      <c r="CB406" s="11"/>
      <c r="CC406" s="17"/>
      <c r="CD406" s="17"/>
      <c r="CE406" s="11"/>
      <c r="CF406" s="13"/>
      <c r="CG406" s="13"/>
      <c r="CH406" s="13"/>
      <c r="CI406" s="13"/>
      <c r="CJ406" s="13"/>
    </row>
    <row r="407" spans="1:88" s="9" customFormat="1" x14ac:dyDescent="0.25">
      <c r="A407" s="10"/>
      <c r="B407" s="10"/>
      <c r="C407" s="10"/>
      <c r="D407" s="10"/>
      <c r="E407" s="11"/>
      <c r="F407" s="10"/>
      <c r="G407" s="10"/>
      <c r="H407" s="10"/>
      <c r="I407" s="10"/>
      <c r="J407" s="10"/>
      <c r="K407" s="12"/>
      <c r="L407" s="10"/>
      <c r="M407" s="10"/>
      <c r="N407" s="13"/>
      <c r="O407" s="10"/>
      <c r="P407" s="10"/>
      <c r="Q407" s="10"/>
      <c r="R407" s="18"/>
      <c r="S407" s="10"/>
      <c r="T407" s="10"/>
      <c r="U407" s="13"/>
      <c r="V407" s="13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3"/>
      <c r="AL407" s="14"/>
      <c r="AM407" s="15"/>
      <c r="AN407" s="15"/>
      <c r="AO407" s="13"/>
      <c r="AP407" s="13"/>
      <c r="AQ407" s="16"/>
      <c r="AR407" s="10"/>
      <c r="AS407" s="10"/>
      <c r="AT407" s="10"/>
      <c r="AU407" s="10"/>
      <c r="AV407" s="11"/>
      <c r="AW407" s="11"/>
      <c r="AX407" s="10"/>
      <c r="AY407" s="11"/>
      <c r="AZ407" s="11"/>
      <c r="BA407" s="11"/>
      <c r="BB407" s="10"/>
      <c r="BC407" s="11"/>
      <c r="BD407" s="11"/>
      <c r="BE407" s="11"/>
      <c r="BF407" s="11"/>
      <c r="BG407" s="11"/>
      <c r="BH407" s="11"/>
      <c r="BI407" s="11"/>
      <c r="BJ407" s="11"/>
      <c r="BK407" s="11"/>
      <c r="BL407" s="11"/>
      <c r="BM407" s="11"/>
      <c r="BN407" s="11"/>
      <c r="BO407" s="11"/>
      <c r="BP407" s="11"/>
      <c r="BQ407" s="11"/>
      <c r="BR407" s="11"/>
      <c r="BS407" s="11"/>
      <c r="BT407" s="11"/>
      <c r="BU407" s="11"/>
      <c r="BV407" s="11"/>
      <c r="BW407" s="11"/>
      <c r="BX407" s="11"/>
      <c r="BY407" s="11"/>
      <c r="BZ407" s="11"/>
      <c r="CA407" s="11"/>
      <c r="CB407" s="11"/>
      <c r="CC407" s="17"/>
      <c r="CD407" s="17"/>
      <c r="CE407" s="11"/>
      <c r="CF407" s="13"/>
      <c r="CG407" s="13"/>
      <c r="CH407" s="13"/>
      <c r="CI407" s="13"/>
      <c r="CJ407" s="13"/>
    </row>
    <row r="408" spans="1:88" s="9" customFormat="1" x14ac:dyDescent="0.25">
      <c r="A408" s="10"/>
      <c r="B408" s="10"/>
      <c r="C408" s="10"/>
      <c r="D408" s="10"/>
      <c r="E408" s="11"/>
      <c r="F408" s="10"/>
      <c r="G408" s="10"/>
      <c r="H408" s="10"/>
      <c r="I408" s="10"/>
      <c r="J408" s="10"/>
      <c r="K408" s="12"/>
      <c r="L408" s="10"/>
      <c r="M408" s="10"/>
      <c r="N408" s="13"/>
      <c r="O408" s="10"/>
      <c r="P408" s="10"/>
      <c r="Q408" s="10"/>
      <c r="R408" s="18"/>
      <c r="S408" s="10"/>
      <c r="T408" s="10"/>
      <c r="U408" s="13"/>
      <c r="V408" s="13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3"/>
      <c r="AL408" s="14"/>
      <c r="AM408" s="15"/>
      <c r="AN408" s="15"/>
      <c r="AO408" s="13"/>
      <c r="AP408" s="13"/>
      <c r="AQ408" s="16"/>
      <c r="AR408" s="10"/>
      <c r="AS408" s="10"/>
      <c r="AT408" s="10"/>
      <c r="AU408" s="10"/>
      <c r="AV408" s="11"/>
      <c r="AW408" s="11"/>
      <c r="AX408" s="10"/>
      <c r="AY408" s="11"/>
      <c r="AZ408" s="11"/>
      <c r="BA408" s="11"/>
      <c r="BB408" s="10"/>
      <c r="BC408" s="11"/>
      <c r="BD408" s="11"/>
      <c r="BE408" s="11"/>
      <c r="BF408" s="11"/>
      <c r="BG408" s="11"/>
      <c r="BH408" s="11"/>
      <c r="BI408" s="11"/>
      <c r="BJ408" s="11"/>
      <c r="BK408" s="11"/>
      <c r="BL408" s="11"/>
      <c r="BM408" s="11"/>
      <c r="BN408" s="11"/>
      <c r="BO408" s="11"/>
      <c r="BP408" s="11"/>
      <c r="BQ408" s="11"/>
      <c r="BR408" s="11"/>
      <c r="BS408" s="11"/>
      <c r="BT408" s="11"/>
      <c r="BU408" s="11"/>
      <c r="BV408" s="11"/>
      <c r="BW408" s="11"/>
      <c r="BX408" s="11"/>
      <c r="BY408" s="11"/>
      <c r="BZ408" s="11"/>
      <c r="CA408" s="11"/>
      <c r="CB408" s="11"/>
      <c r="CC408" s="17"/>
      <c r="CD408" s="17"/>
      <c r="CE408" s="11"/>
      <c r="CF408" s="13"/>
      <c r="CG408" s="13"/>
      <c r="CH408" s="13"/>
      <c r="CI408" s="13"/>
      <c r="CJ408" s="13"/>
    </row>
    <row r="409" spans="1:88" s="9" customFormat="1" x14ac:dyDescent="0.25">
      <c r="A409" s="10"/>
      <c r="B409" s="10"/>
      <c r="C409" s="10"/>
      <c r="D409" s="10"/>
      <c r="E409" s="11"/>
      <c r="F409" s="10"/>
      <c r="G409" s="10"/>
      <c r="H409" s="10"/>
      <c r="I409" s="10"/>
      <c r="J409" s="10"/>
      <c r="K409" s="12"/>
      <c r="L409" s="10"/>
      <c r="M409" s="10"/>
      <c r="N409" s="13"/>
      <c r="O409" s="10"/>
      <c r="P409" s="10"/>
      <c r="Q409" s="10"/>
      <c r="R409" s="18"/>
      <c r="S409" s="10"/>
      <c r="T409" s="10"/>
      <c r="U409" s="13"/>
      <c r="V409" s="13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3"/>
      <c r="AL409" s="14"/>
      <c r="AM409" s="15"/>
      <c r="AN409" s="15"/>
      <c r="AO409" s="13"/>
      <c r="AP409" s="13"/>
      <c r="AQ409" s="16"/>
      <c r="AR409" s="10"/>
      <c r="AS409" s="10"/>
      <c r="AT409" s="10"/>
      <c r="AU409" s="10"/>
      <c r="AV409" s="11"/>
      <c r="AW409" s="11"/>
      <c r="AX409" s="10"/>
      <c r="AY409" s="11"/>
      <c r="AZ409" s="11"/>
      <c r="BA409" s="11"/>
      <c r="BB409" s="10"/>
      <c r="BC409" s="11"/>
      <c r="BD409" s="11"/>
      <c r="BE409" s="11"/>
      <c r="BF409" s="11"/>
      <c r="BG409" s="11"/>
      <c r="BH409" s="11"/>
      <c r="BI409" s="11"/>
      <c r="BJ409" s="11"/>
      <c r="BK409" s="11"/>
      <c r="BL409" s="11"/>
      <c r="BM409" s="11"/>
      <c r="BN409" s="11"/>
      <c r="BO409" s="11"/>
      <c r="BP409" s="11"/>
      <c r="BQ409" s="11"/>
      <c r="BR409" s="11"/>
      <c r="BS409" s="11"/>
      <c r="BT409" s="11"/>
      <c r="BU409" s="11"/>
      <c r="BV409" s="11"/>
      <c r="BW409" s="11"/>
      <c r="BX409" s="11"/>
      <c r="BY409" s="11"/>
      <c r="BZ409" s="11"/>
      <c r="CA409" s="11"/>
      <c r="CB409" s="11"/>
      <c r="CC409" s="17"/>
      <c r="CD409" s="17"/>
      <c r="CE409" s="11"/>
      <c r="CF409" s="13"/>
      <c r="CG409" s="13"/>
      <c r="CH409" s="13"/>
      <c r="CI409" s="13"/>
      <c r="CJ409" s="13"/>
    </row>
    <row r="410" spans="1:88" s="9" customFormat="1" x14ac:dyDescent="0.25">
      <c r="A410" s="10"/>
      <c r="B410" s="10"/>
      <c r="C410" s="10"/>
      <c r="D410" s="10"/>
      <c r="E410" s="11"/>
      <c r="F410" s="10"/>
      <c r="G410" s="10"/>
      <c r="H410" s="10"/>
      <c r="I410" s="10"/>
      <c r="J410" s="10"/>
      <c r="K410" s="12"/>
      <c r="L410" s="10"/>
      <c r="M410" s="10"/>
      <c r="N410" s="13"/>
      <c r="O410" s="10"/>
      <c r="P410" s="10"/>
      <c r="Q410" s="10"/>
      <c r="R410" s="18"/>
      <c r="S410" s="10"/>
      <c r="T410" s="10"/>
      <c r="U410" s="13"/>
      <c r="V410" s="13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3"/>
      <c r="AL410" s="14"/>
      <c r="AM410" s="15"/>
      <c r="AN410" s="15"/>
      <c r="AO410" s="13"/>
      <c r="AP410" s="13"/>
      <c r="AQ410" s="16"/>
      <c r="AR410" s="10"/>
      <c r="AS410" s="10"/>
      <c r="AT410" s="10"/>
      <c r="AU410" s="10"/>
      <c r="AV410" s="11"/>
      <c r="AW410" s="11"/>
      <c r="AX410" s="10"/>
      <c r="AY410" s="11"/>
      <c r="AZ410" s="11"/>
      <c r="BA410" s="11"/>
      <c r="BB410" s="10"/>
      <c r="BC410" s="11"/>
      <c r="BD410" s="11"/>
      <c r="BE410" s="11"/>
      <c r="BF410" s="11"/>
      <c r="BG410" s="11"/>
      <c r="BH410" s="11"/>
      <c r="BI410" s="11"/>
      <c r="BJ410" s="11"/>
      <c r="BK410" s="11"/>
      <c r="BL410" s="11"/>
      <c r="BM410" s="11"/>
      <c r="BN410" s="11"/>
      <c r="BO410" s="11"/>
      <c r="BP410" s="11"/>
      <c r="BQ410" s="11"/>
      <c r="BR410" s="11"/>
      <c r="BS410" s="11"/>
      <c r="BT410" s="11"/>
      <c r="BU410" s="11"/>
      <c r="BV410" s="11"/>
      <c r="BW410" s="11"/>
      <c r="BX410" s="11"/>
      <c r="BY410" s="11"/>
      <c r="BZ410" s="11"/>
      <c r="CA410" s="11"/>
      <c r="CB410" s="11"/>
      <c r="CC410" s="17"/>
      <c r="CD410" s="17"/>
      <c r="CE410" s="11"/>
      <c r="CF410" s="13"/>
      <c r="CG410" s="13"/>
      <c r="CH410" s="13"/>
      <c r="CI410" s="13"/>
      <c r="CJ410" s="13"/>
    </row>
    <row r="411" spans="1:88" s="9" customFormat="1" x14ac:dyDescent="0.25">
      <c r="A411" s="10"/>
      <c r="B411" s="10"/>
      <c r="C411" s="10"/>
      <c r="D411" s="10"/>
      <c r="E411" s="11"/>
      <c r="F411" s="10"/>
      <c r="G411" s="10"/>
      <c r="H411" s="10"/>
      <c r="I411" s="10"/>
      <c r="J411" s="10"/>
      <c r="K411" s="12"/>
      <c r="L411" s="10"/>
      <c r="M411" s="10"/>
      <c r="N411" s="13"/>
      <c r="O411" s="10"/>
      <c r="P411" s="10"/>
      <c r="Q411" s="10"/>
      <c r="R411" s="18"/>
      <c r="S411" s="10"/>
      <c r="T411" s="10"/>
      <c r="U411" s="13"/>
      <c r="V411" s="13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3"/>
      <c r="AL411" s="14"/>
      <c r="AM411" s="15"/>
      <c r="AN411" s="15"/>
      <c r="AO411" s="13"/>
      <c r="AP411" s="13"/>
      <c r="AQ411" s="16"/>
      <c r="AR411" s="10"/>
      <c r="AS411" s="10"/>
      <c r="AT411" s="10"/>
      <c r="AU411" s="10"/>
      <c r="AV411" s="11"/>
      <c r="AW411" s="11"/>
      <c r="AX411" s="10"/>
      <c r="AY411" s="11"/>
      <c r="AZ411" s="11"/>
      <c r="BA411" s="11"/>
      <c r="BB411" s="10"/>
      <c r="BC411" s="11"/>
      <c r="BD411" s="11"/>
      <c r="BE411" s="11"/>
      <c r="BF411" s="11"/>
      <c r="BG411" s="11"/>
      <c r="BH411" s="11"/>
      <c r="BI411" s="11"/>
      <c r="BJ411" s="11"/>
      <c r="BK411" s="11"/>
      <c r="BL411" s="11"/>
      <c r="BM411" s="11"/>
      <c r="BN411" s="11"/>
      <c r="BO411" s="11"/>
      <c r="BP411" s="11"/>
      <c r="BQ411" s="11"/>
      <c r="BR411" s="11"/>
      <c r="BS411" s="11"/>
      <c r="BT411" s="11"/>
      <c r="BU411" s="11"/>
      <c r="BV411" s="11"/>
      <c r="BW411" s="11"/>
      <c r="BX411" s="11"/>
      <c r="BY411" s="11"/>
      <c r="BZ411" s="11"/>
      <c r="CA411" s="11"/>
      <c r="CB411" s="11"/>
      <c r="CC411" s="17"/>
      <c r="CD411" s="17"/>
      <c r="CE411" s="11"/>
      <c r="CF411" s="13"/>
      <c r="CG411" s="13"/>
      <c r="CH411" s="13"/>
      <c r="CI411" s="13"/>
      <c r="CJ411" s="13"/>
    </row>
    <row r="412" spans="1:88" s="9" customFormat="1" x14ac:dyDescent="0.25">
      <c r="A412" s="10"/>
      <c r="B412" s="10"/>
      <c r="C412" s="10"/>
      <c r="D412" s="10"/>
      <c r="E412" s="11"/>
      <c r="F412" s="10"/>
      <c r="G412" s="10"/>
      <c r="H412" s="10"/>
      <c r="I412" s="10"/>
      <c r="J412" s="10"/>
      <c r="K412" s="12"/>
      <c r="L412" s="10"/>
      <c r="M412" s="10"/>
      <c r="N412" s="13"/>
      <c r="O412" s="10"/>
      <c r="P412" s="10"/>
      <c r="Q412" s="10"/>
      <c r="R412" s="18"/>
      <c r="S412" s="10"/>
      <c r="T412" s="10"/>
      <c r="U412" s="13"/>
      <c r="V412" s="13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3"/>
      <c r="AL412" s="14"/>
      <c r="AM412" s="15"/>
      <c r="AN412" s="15"/>
      <c r="AO412" s="13"/>
      <c r="AP412" s="13"/>
      <c r="AQ412" s="16"/>
      <c r="AR412" s="10"/>
      <c r="AS412" s="10"/>
      <c r="AT412" s="10"/>
      <c r="AU412" s="10"/>
      <c r="AV412" s="11"/>
      <c r="AW412" s="11"/>
      <c r="AX412" s="10"/>
      <c r="AY412" s="11"/>
      <c r="AZ412" s="11"/>
      <c r="BA412" s="11"/>
      <c r="BB412" s="10"/>
      <c r="BC412" s="11"/>
      <c r="BD412" s="11"/>
      <c r="BE412" s="11"/>
      <c r="BF412" s="11"/>
      <c r="BG412" s="11"/>
      <c r="BH412" s="11"/>
      <c r="BI412" s="11"/>
      <c r="BJ412" s="11"/>
      <c r="BK412" s="11"/>
      <c r="BL412" s="11"/>
      <c r="BM412" s="11"/>
      <c r="BN412" s="11"/>
      <c r="BO412" s="11"/>
      <c r="BP412" s="11"/>
      <c r="BQ412" s="11"/>
      <c r="BR412" s="11"/>
      <c r="BS412" s="11"/>
      <c r="BT412" s="11"/>
      <c r="BU412" s="11"/>
      <c r="BV412" s="11"/>
      <c r="BW412" s="11"/>
      <c r="BX412" s="11"/>
      <c r="BY412" s="11"/>
      <c r="BZ412" s="11"/>
      <c r="CA412" s="11"/>
      <c r="CB412" s="11"/>
      <c r="CC412" s="17"/>
      <c r="CD412" s="17"/>
      <c r="CE412" s="11"/>
      <c r="CF412" s="13"/>
      <c r="CG412" s="13"/>
      <c r="CH412" s="13"/>
      <c r="CI412" s="13"/>
      <c r="CJ412" s="13"/>
    </row>
    <row r="413" spans="1:88" s="9" customFormat="1" x14ac:dyDescent="0.25">
      <c r="A413" s="10"/>
      <c r="B413" s="10"/>
      <c r="C413" s="10"/>
      <c r="D413" s="10"/>
      <c r="E413" s="11"/>
      <c r="F413" s="10"/>
      <c r="G413" s="10"/>
      <c r="H413" s="10"/>
      <c r="I413" s="10"/>
      <c r="J413" s="10"/>
      <c r="K413" s="12"/>
      <c r="L413" s="10"/>
      <c r="M413" s="10"/>
      <c r="N413" s="13"/>
      <c r="O413" s="10"/>
      <c r="P413" s="10"/>
      <c r="Q413" s="10"/>
      <c r="R413" s="18"/>
      <c r="S413" s="10"/>
      <c r="T413" s="10"/>
      <c r="U413" s="13"/>
      <c r="V413" s="13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3"/>
      <c r="AL413" s="14"/>
      <c r="AM413" s="15"/>
      <c r="AN413" s="15"/>
      <c r="AO413" s="13"/>
      <c r="AP413" s="13"/>
      <c r="AQ413" s="16"/>
      <c r="AR413" s="10"/>
      <c r="AS413" s="10"/>
      <c r="AT413" s="10"/>
      <c r="AU413" s="10"/>
      <c r="AV413" s="11"/>
      <c r="AW413" s="11"/>
      <c r="AX413" s="10"/>
      <c r="AY413" s="11"/>
      <c r="AZ413" s="11"/>
      <c r="BA413" s="11"/>
      <c r="BB413" s="10"/>
      <c r="BC413" s="11"/>
      <c r="BD413" s="11"/>
      <c r="BE413" s="11"/>
      <c r="BF413" s="11"/>
      <c r="BG413" s="11"/>
      <c r="BH413" s="11"/>
      <c r="BI413" s="11"/>
      <c r="BJ413" s="11"/>
      <c r="BK413" s="11"/>
      <c r="BL413" s="11"/>
      <c r="BM413" s="11"/>
      <c r="BN413" s="11"/>
      <c r="BO413" s="11"/>
      <c r="BP413" s="11"/>
      <c r="BQ413" s="11"/>
      <c r="BR413" s="11"/>
      <c r="BS413" s="11"/>
      <c r="BT413" s="11"/>
      <c r="BU413" s="11"/>
      <c r="BV413" s="11"/>
      <c r="BW413" s="11"/>
      <c r="BX413" s="11"/>
      <c r="BY413" s="11"/>
      <c r="BZ413" s="11"/>
      <c r="CA413" s="11"/>
      <c r="CB413" s="11"/>
      <c r="CC413" s="17"/>
      <c r="CD413" s="17"/>
      <c r="CE413" s="11"/>
      <c r="CF413" s="13"/>
      <c r="CG413" s="13"/>
      <c r="CH413" s="13"/>
      <c r="CI413" s="13"/>
      <c r="CJ413" s="13"/>
    </row>
    <row r="414" spans="1:88" s="9" customFormat="1" x14ac:dyDescent="0.25">
      <c r="A414" s="10"/>
      <c r="B414" s="10"/>
      <c r="C414" s="10"/>
      <c r="D414" s="10"/>
      <c r="E414" s="11"/>
      <c r="F414" s="10"/>
      <c r="G414" s="10"/>
      <c r="H414" s="10"/>
      <c r="I414" s="10"/>
      <c r="J414" s="10"/>
      <c r="K414" s="12"/>
      <c r="L414" s="10"/>
      <c r="M414" s="10"/>
      <c r="N414" s="13"/>
      <c r="O414" s="10"/>
      <c r="P414" s="10"/>
      <c r="Q414" s="10"/>
      <c r="R414" s="18"/>
      <c r="S414" s="10"/>
      <c r="T414" s="10"/>
      <c r="U414" s="13"/>
      <c r="V414" s="13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3"/>
      <c r="AL414" s="14"/>
      <c r="AM414" s="15"/>
      <c r="AN414" s="15"/>
      <c r="AO414" s="13"/>
      <c r="AP414" s="13"/>
      <c r="AQ414" s="16"/>
      <c r="AR414" s="10"/>
      <c r="AS414" s="10"/>
      <c r="AT414" s="10"/>
      <c r="AU414" s="10"/>
      <c r="AV414" s="11"/>
      <c r="AW414" s="11"/>
      <c r="AX414" s="10"/>
      <c r="AY414" s="11"/>
      <c r="AZ414" s="11"/>
      <c r="BA414" s="11"/>
      <c r="BB414" s="10"/>
      <c r="BC414" s="11"/>
      <c r="BD414" s="11"/>
      <c r="BE414" s="11"/>
      <c r="BF414" s="11"/>
      <c r="BG414" s="11"/>
      <c r="BH414" s="11"/>
      <c r="BI414" s="11"/>
      <c r="BJ414" s="11"/>
      <c r="BK414" s="11"/>
      <c r="BL414" s="11"/>
      <c r="BM414" s="11"/>
      <c r="BN414" s="11"/>
      <c r="BO414" s="11"/>
      <c r="BP414" s="11"/>
      <c r="BQ414" s="11"/>
      <c r="BR414" s="11"/>
      <c r="BS414" s="11"/>
      <c r="BT414" s="11"/>
      <c r="BU414" s="11"/>
      <c r="BV414" s="11"/>
      <c r="BW414" s="11"/>
      <c r="BX414" s="11"/>
      <c r="BY414" s="11"/>
      <c r="BZ414" s="11"/>
      <c r="CA414" s="11"/>
      <c r="CB414" s="11"/>
      <c r="CC414" s="17"/>
      <c r="CD414" s="17"/>
      <c r="CE414" s="11"/>
      <c r="CF414" s="13"/>
      <c r="CG414" s="13"/>
      <c r="CH414" s="13"/>
      <c r="CI414" s="13"/>
      <c r="CJ414" s="13"/>
    </row>
    <row r="415" spans="1:88" s="9" customFormat="1" x14ac:dyDescent="0.25">
      <c r="A415" s="10"/>
      <c r="B415" s="10"/>
      <c r="C415" s="10"/>
      <c r="D415" s="10"/>
      <c r="E415" s="11"/>
      <c r="F415" s="10"/>
      <c r="G415" s="10"/>
      <c r="H415" s="10"/>
      <c r="I415" s="10"/>
      <c r="J415" s="10"/>
      <c r="K415" s="12"/>
      <c r="L415" s="10"/>
      <c r="M415" s="10"/>
      <c r="N415" s="13"/>
      <c r="O415" s="10"/>
      <c r="P415" s="10"/>
      <c r="Q415" s="10"/>
      <c r="R415" s="18"/>
      <c r="S415" s="10"/>
      <c r="T415" s="10"/>
      <c r="U415" s="13"/>
      <c r="V415" s="13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3"/>
      <c r="AL415" s="14"/>
      <c r="AM415" s="15"/>
      <c r="AN415" s="15"/>
      <c r="AO415" s="13"/>
      <c r="AP415" s="13"/>
      <c r="AQ415" s="16"/>
      <c r="AR415" s="10"/>
      <c r="AS415" s="10"/>
      <c r="AT415" s="10"/>
      <c r="AU415" s="10"/>
      <c r="AV415" s="11"/>
      <c r="AW415" s="11"/>
      <c r="AX415" s="10"/>
      <c r="AY415" s="11"/>
      <c r="AZ415" s="11"/>
      <c r="BA415" s="11"/>
      <c r="BB415" s="10"/>
      <c r="BC415" s="11"/>
      <c r="BD415" s="11"/>
      <c r="BE415" s="11"/>
      <c r="BF415" s="11"/>
      <c r="BG415" s="11"/>
      <c r="BH415" s="11"/>
      <c r="BI415" s="11"/>
      <c r="BJ415" s="11"/>
      <c r="BK415" s="11"/>
      <c r="BL415" s="11"/>
      <c r="BM415" s="11"/>
      <c r="BN415" s="11"/>
      <c r="BO415" s="11"/>
      <c r="BP415" s="11"/>
      <c r="BQ415" s="11"/>
      <c r="BR415" s="11"/>
      <c r="BS415" s="11"/>
      <c r="BT415" s="11"/>
      <c r="BU415" s="11"/>
      <c r="BV415" s="11"/>
      <c r="BW415" s="11"/>
      <c r="BX415" s="11"/>
      <c r="BY415" s="11"/>
      <c r="BZ415" s="11"/>
      <c r="CA415" s="11"/>
      <c r="CB415" s="11"/>
      <c r="CC415" s="17"/>
      <c r="CD415" s="17"/>
      <c r="CE415" s="11"/>
      <c r="CF415" s="13"/>
      <c r="CG415" s="13"/>
      <c r="CH415" s="13"/>
      <c r="CI415" s="13"/>
      <c r="CJ415" s="13"/>
    </row>
    <row r="416" spans="1:88" s="9" customFormat="1" x14ac:dyDescent="0.25">
      <c r="A416" s="10"/>
      <c r="B416" s="10"/>
      <c r="C416" s="10"/>
      <c r="D416" s="10"/>
      <c r="E416" s="11"/>
      <c r="F416" s="10"/>
      <c r="G416" s="10"/>
      <c r="H416" s="10"/>
      <c r="I416" s="10"/>
      <c r="J416" s="10"/>
      <c r="K416" s="12"/>
      <c r="L416" s="10"/>
      <c r="M416" s="10"/>
      <c r="N416" s="13"/>
      <c r="O416" s="10"/>
      <c r="P416" s="10"/>
      <c r="Q416" s="10"/>
      <c r="R416" s="18"/>
      <c r="S416" s="10"/>
      <c r="T416" s="10"/>
      <c r="U416" s="13"/>
      <c r="V416" s="13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3"/>
      <c r="AL416" s="14"/>
      <c r="AM416" s="15"/>
      <c r="AN416" s="15"/>
      <c r="AO416" s="13"/>
      <c r="AP416" s="13"/>
      <c r="AQ416" s="16"/>
      <c r="AR416" s="10"/>
      <c r="AS416" s="10"/>
      <c r="AT416" s="10"/>
      <c r="AU416" s="10"/>
      <c r="AV416" s="11"/>
      <c r="AW416" s="11"/>
      <c r="AX416" s="10"/>
      <c r="AY416" s="11"/>
      <c r="AZ416" s="11"/>
      <c r="BA416" s="11"/>
      <c r="BB416" s="10"/>
      <c r="BC416" s="11"/>
      <c r="BD416" s="11"/>
      <c r="BE416" s="11"/>
      <c r="BF416" s="11"/>
      <c r="BG416" s="11"/>
      <c r="BH416" s="11"/>
      <c r="BI416" s="11"/>
      <c r="BJ416" s="11"/>
      <c r="BK416" s="11"/>
      <c r="BL416" s="11"/>
      <c r="BM416" s="11"/>
      <c r="BN416" s="11"/>
      <c r="BO416" s="11"/>
      <c r="BP416" s="11"/>
      <c r="BQ416" s="11"/>
      <c r="BR416" s="11"/>
      <c r="BS416" s="11"/>
      <c r="BT416" s="11"/>
      <c r="BU416" s="11"/>
      <c r="BV416" s="11"/>
      <c r="BW416" s="11"/>
      <c r="BX416" s="11"/>
      <c r="BY416" s="11"/>
      <c r="BZ416" s="11"/>
      <c r="CA416" s="11"/>
      <c r="CB416" s="11"/>
      <c r="CC416" s="17"/>
      <c r="CD416" s="17"/>
      <c r="CE416" s="11"/>
      <c r="CF416" s="13"/>
      <c r="CG416" s="13"/>
      <c r="CH416" s="13"/>
      <c r="CI416" s="13"/>
      <c r="CJ416" s="13"/>
    </row>
    <row r="417" spans="1:88" s="9" customFormat="1" x14ac:dyDescent="0.25">
      <c r="A417" s="10"/>
      <c r="B417" s="10"/>
      <c r="C417" s="10"/>
      <c r="D417" s="10"/>
      <c r="E417" s="11"/>
      <c r="F417" s="10"/>
      <c r="G417" s="10"/>
      <c r="H417" s="10"/>
      <c r="I417" s="10"/>
      <c r="J417" s="10"/>
      <c r="K417" s="12"/>
      <c r="L417" s="10"/>
      <c r="M417" s="10"/>
      <c r="N417" s="13"/>
      <c r="O417" s="10"/>
      <c r="P417" s="10"/>
      <c r="Q417" s="10"/>
      <c r="R417" s="18"/>
      <c r="S417" s="10"/>
      <c r="T417" s="10"/>
      <c r="U417" s="13"/>
      <c r="V417" s="13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3"/>
      <c r="AL417" s="14"/>
      <c r="AM417" s="15"/>
      <c r="AN417" s="15"/>
      <c r="AO417" s="13"/>
      <c r="AP417" s="13"/>
      <c r="AQ417" s="16"/>
      <c r="AR417" s="10"/>
      <c r="AS417" s="10"/>
      <c r="AT417" s="10"/>
      <c r="AU417" s="10"/>
      <c r="AV417" s="11"/>
      <c r="AW417" s="11"/>
      <c r="AX417" s="10"/>
      <c r="AY417" s="11"/>
      <c r="AZ417" s="11"/>
      <c r="BA417" s="11"/>
      <c r="BB417" s="10"/>
      <c r="BC417" s="11"/>
      <c r="BD417" s="11"/>
      <c r="BE417" s="11"/>
      <c r="BF417" s="11"/>
      <c r="BG417" s="11"/>
      <c r="BH417" s="11"/>
      <c r="BI417" s="11"/>
      <c r="BJ417" s="11"/>
      <c r="BK417" s="11"/>
      <c r="BL417" s="11"/>
      <c r="BM417" s="11"/>
      <c r="BN417" s="11"/>
      <c r="BO417" s="11"/>
      <c r="BP417" s="11"/>
      <c r="BQ417" s="11"/>
      <c r="BR417" s="11"/>
      <c r="BS417" s="11"/>
      <c r="BT417" s="11"/>
      <c r="BU417" s="11"/>
      <c r="BV417" s="11"/>
      <c r="BW417" s="11"/>
      <c r="BX417" s="11"/>
      <c r="BY417" s="11"/>
      <c r="BZ417" s="11"/>
      <c r="CA417" s="11"/>
      <c r="CB417" s="11"/>
      <c r="CC417" s="17"/>
      <c r="CD417" s="17"/>
      <c r="CE417" s="11"/>
      <c r="CF417" s="13"/>
      <c r="CG417" s="13"/>
      <c r="CH417" s="13"/>
      <c r="CI417" s="13"/>
      <c r="CJ417" s="13"/>
    </row>
    <row r="418" spans="1:88" s="9" customFormat="1" x14ac:dyDescent="0.25">
      <c r="A418" s="10"/>
      <c r="B418" s="10"/>
      <c r="C418" s="10"/>
      <c r="D418" s="10"/>
      <c r="E418" s="11"/>
      <c r="F418" s="10"/>
      <c r="G418" s="10"/>
      <c r="H418" s="10"/>
      <c r="I418" s="10"/>
      <c r="J418" s="10"/>
      <c r="K418" s="12"/>
      <c r="L418" s="10"/>
      <c r="M418" s="10"/>
      <c r="N418" s="13"/>
      <c r="O418" s="10"/>
      <c r="P418" s="10"/>
      <c r="Q418" s="10"/>
      <c r="R418" s="18"/>
      <c r="S418" s="10"/>
      <c r="T418" s="10"/>
      <c r="U418" s="13"/>
      <c r="V418" s="13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3"/>
      <c r="AL418" s="14"/>
      <c r="AM418" s="15"/>
      <c r="AN418" s="15"/>
      <c r="AO418" s="13"/>
      <c r="AP418" s="13"/>
      <c r="AQ418" s="16"/>
      <c r="AR418" s="10"/>
      <c r="AS418" s="10"/>
      <c r="AT418" s="10"/>
      <c r="AU418" s="10"/>
      <c r="AV418" s="11"/>
      <c r="AW418" s="11"/>
      <c r="AX418" s="10"/>
      <c r="AY418" s="11"/>
      <c r="AZ418" s="11"/>
      <c r="BA418" s="11"/>
      <c r="BB418" s="10"/>
      <c r="BC418" s="11"/>
      <c r="BD418" s="11"/>
      <c r="BE418" s="11"/>
      <c r="BF418" s="11"/>
      <c r="BG418" s="11"/>
      <c r="BH418" s="11"/>
      <c r="BI418" s="11"/>
      <c r="BJ418" s="11"/>
      <c r="BK418" s="11"/>
      <c r="BL418" s="11"/>
      <c r="BM418" s="11"/>
      <c r="BN418" s="11"/>
      <c r="BO418" s="11"/>
      <c r="BP418" s="11"/>
      <c r="BQ418" s="11"/>
      <c r="BR418" s="11"/>
      <c r="BS418" s="11"/>
      <c r="BT418" s="11"/>
      <c r="BU418" s="11"/>
      <c r="BV418" s="11"/>
      <c r="BW418" s="11"/>
      <c r="BX418" s="11"/>
      <c r="BY418" s="11"/>
      <c r="BZ418" s="11"/>
      <c r="CA418" s="11"/>
      <c r="CB418" s="11"/>
      <c r="CC418" s="17"/>
      <c r="CD418" s="17"/>
      <c r="CE418" s="11"/>
      <c r="CF418" s="13"/>
      <c r="CG418" s="13"/>
      <c r="CH418" s="13"/>
      <c r="CI418" s="13"/>
      <c r="CJ418" s="13"/>
    </row>
    <row r="419" spans="1:88" s="9" customFormat="1" x14ac:dyDescent="0.25">
      <c r="A419" s="10"/>
      <c r="B419" s="10"/>
      <c r="C419" s="10"/>
      <c r="D419" s="10"/>
      <c r="E419" s="11"/>
      <c r="F419" s="10"/>
      <c r="G419" s="10"/>
      <c r="H419" s="10"/>
      <c r="I419" s="10"/>
      <c r="J419" s="10"/>
      <c r="K419" s="12"/>
      <c r="L419" s="10"/>
      <c r="M419" s="10"/>
      <c r="N419" s="13"/>
      <c r="O419" s="10"/>
      <c r="P419" s="10"/>
      <c r="Q419" s="10"/>
      <c r="R419" s="18"/>
      <c r="S419" s="10"/>
      <c r="T419" s="10"/>
      <c r="U419" s="13"/>
      <c r="V419" s="13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3"/>
      <c r="AL419" s="14"/>
      <c r="AM419" s="15"/>
      <c r="AN419" s="15"/>
      <c r="AO419" s="13"/>
      <c r="AP419" s="13"/>
      <c r="AQ419" s="16"/>
      <c r="AR419" s="10"/>
      <c r="AS419" s="10"/>
      <c r="AT419" s="10"/>
      <c r="AU419" s="10"/>
      <c r="AV419" s="11"/>
      <c r="AW419" s="11"/>
      <c r="AX419" s="10"/>
      <c r="AY419" s="11"/>
      <c r="AZ419" s="11"/>
      <c r="BA419" s="11"/>
      <c r="BB419" s="10"/>
      <c r="BC419" s="11"/>
      <c r="BD419" s="11"/>
      <c r="BE419" s="11"/>
      <c r="BF419" s="11"/>
      <c r="BG419" s="11"/>
      <c r="BH419" s="11"/>
      <c r="BI419" s="11"/>
      <c r="BJ419" s="11"/>
      <c r="BK419" s="11"/>
      <c r="BL419" s="11"/>
      <c r="BM419" s="11"/>
      <c r="BN419" s="11"/>
      <c r="BO419" s="11"/>
      <c r="BP419" s="11"/>
      <c r="BQ419" s="11"/>
      <c r="BR419" s="11"/>
      <c r="BS419" s="11"/>
      <c r="BT419" s="11"/>
      <c r="BU419" s="11"/>
      <c r="BV419" s="11"/>
      <c r="BW419" s="11"/>
      <c r="BX419" s="11"/>
      <c r="BY419" s="11"/>
      <c r="BZ419" s="11"/>
      <c r="CA419" s="11"/>
      <c r="CB419" s="11"/>
      <c r="CC419" s="17"/>
      <c r="CD419" s="17"/>
      <c r="CE419" s="11"/>
      <c r="CF419" s="13"/>
      <c r="CG419" s="13"/>
      <c r="CH419" s="13"/>
      <c r="CI419" s="13"/>
      <c r="CJ419" s="13"/>
    </row>
    <row r="420" spans="1:88" s="9" customFormat="1" x14ac:dyDescent="0.25">
      <c r="A420" s="10"/>
      <c r="B420" s="10"/>
      <c r="C420" s="10"/>
      <c r="D420" s="10"/>
      <c r="E420" s="11"/>
      <c r="F420" s="10"/>
      <c r="G420" s="10"/>
      <c r="H420" s="10"/>
      <c r="I420" s="10"/>
      <c r="J420" s="10"/>
      <c r="K420" s="12"/>
      <c r="L420" s="10"/>
      <c r="M420" s="10"/>
      <c r="N420" s="13"/>
      <c r="O420" s="10"/>
      <c r="P420" s="10"/>
      <c r="Q420" s="10"/>
      <c r="R420" s="18"/>
      <c r="S420" s="10"/>
      <c r="T420" s="10"/>
      <c r="U420" s="13"/>
      <c r="V420" s="13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3"/>
      <c r="AL420" s="14"/>
      <c r="AM420" s="15"/>
      <c r="AN420" s="15"/>
      <c r="AO420" s="13"/>
      <c r="AP420" s="13"/>
      <c r="AQ420" s="16"/>
      <c r="AR420" s="10"/>
      <c r="AS420" s="10"/>
      <c r="AT420" s="10"/>
      <c r="AU420" s="10"/>
      <c r="AV420" s="11"/>
      <c r="AW420" s="11"/>
      <c r="AX420" s="10"/>
      <c r="AY420" s="11"/>
      <c r="AZ420" s="11"/>
      <c r="BA420" s="11"/>
      <c r="BB420" s="10"/>
      <c r="BC420" s="11"/>
      <c r="BD420" s="11"/>
      <c r="BE420" s="11"/>
      <c r="BF420" s="11"/>
      <c r="BG420" s="11"/>
      <c r="BH420" s="11"/>
      <c r="BI420" s="11"/>
      <c r="BJ420" s="11"/>
      <c r="BK420" s="11"/>
      <c r="BL420" s="11"/>
      <c r="BM420" s="11"/>
      <c r="BN420" s="11"/>
      <c r="BO420" s="11"/>
      <c r="BP420" s="11"/>
      <c r="BQ420" s="11"/>
      <c r="BR420" s="11"/>
      <c r="BS420" s="11"/>
      <c r="BT420" s="11"/>
      <c r="BU420" s="11"/>
      <c r="BV420" s="11"/>
      <c r="BW420" s="11"/>
      <c r="BX420" s="11"/>
      <c r="BY420" s="11"/>
      <c r="BZ420" s="11"/>
      <c r="CA420" s="11"/>
      <c r="CB420" s="11"/>
      <c r="CC420" s="17"/>
      <c r="CD420" s="17"/>
      <c r="CE420" s="11"/>
      <c r="CF420" s="13"/>
      <c r="CG420" s="13"/>
      <c r="CH420" s="13"/>
      <c r="CI420" s="13"/>
      <c r="CJ420" s="13"/>
    </row>
    <row r="421" spans="1:88" s="9" customFormat="1" x14ac:dyDescent="0.25">
      <c r="A421" s="10"/>
      <c r="B421" s="10"/>
      <c r="C421" s="10"/>
      <c r="D421" s="10"/>
      <c r="E421" s="11"/>
      <c r="F421" s="10"/>
      <c r="G421" s="10"/>
      <c r="H421" s="10"/>
      <c r="I421" s="10"/>
      <c r="J421" s="10"/>
      <c r="K421" s="12"/>
      <c r="L421" s="10"/>
      <c r="M421" s="10"/>
      <c r="N421" s="13"/>
      <c r="O421" s="10"/>
      <c r="P421" s="10"/>
      <c r="Q421" s="10"/>
      <c r="R421" s="18"/>
      <c r="S421" s="10"/>
      <c r="T421" s="10"/>
      <c r="U421" s="13"/>
      <c r="V421" s="13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3"/>
      <c r="AL421" s="14"/>
      <c r="AM421" s="15"/>
      <c r="AN421" s="15"/>
      <c r="AO421" s="13"/>
      <c r="AP421" s="13"/>
      <c r="AQ421" s="16"/>
      <c r="AR421" s="10"/>
      <c r="AS421" s="10"/>
      <c r="AT421" s="10"/>
      <c r="AU421" s="10"/>
      <c r="AV421" s="11"/>
      <c r="AW421" s="11"/>
      <c r="AX421" s="10"/>
      <c r="AY421" s="11"/>
      <c r="AZ421" s="11"/>
      <c r="BA421" s="11"/>
      <c r="BB421" s="10"/>
      <c r="BC421" s="11"/>
      <c r="BD421" s="11"/>
      <c r="BE421" s="11"/>
      <c r="BF421" s="11"/>
      <c r="BG421" s="11"/>
      <c r="BH421" s="11"/>
      <c r="BI421" s="11"/>
      <c r="BJ421" s="11"/>
      <c r="BK421" s="11"/>
      <c r="BL421" s="11"/>
      <c r="BM421" s="11"/>
      <c r="BN421" s="11"/>
      <c r="BO421" s="11"/>
      <c r="BP421" s="11"/>
      <c r="BQ421" s="11"/>
      <c r="BR421" s="11"/>
      <c r="BS421" s="11"/>
      <c r="BT421" s="11"/>
      <c r="BU421" s="11"/>
      <c r="BV421" s="11"/>
      <c r="BW421" s="11"/>
      <c r="BX421" s="11"/>
      <c r="BY421" s="11"/>
      <c r="BZ421" s="11"/>
      <c r="CA421" s="11"/>
      <c r="CB421" s="11"/>
      <c r="CC421" s="17"/>
      <c r="CD421" s="17"/>
      <c r="CE421" s="11"/>
      <c r="CF421" s="13"/>
      <c r="CG421" s="13"/>
      <c r="CH421" s="13"/>
      <c r="CI421" s="13"/>
      <c r="CJ421" s="13"/>
    </row>
    <row r="422" spans="1:88" s="9" customFormat="1" x14ac:dyDescent="0.25">
      <c r="A422" s="10"/>
      <c r="B422" s="10"/>
      <c r="C422" s="10"/>
      <c r="D422" s="10"/>
      <c r="E422" s="11"/>
      <c r="F422" s="10"/>
      <c r="G422" s="10"/>
      <c r="H422" s="10"/>
      <c r="I422" s="10"/>
      <c r="J422" s="10"/>
      <c r="K422" s="12"/>
      <c r="L422" s="10"/>
      <c r="M422" s="10"/>
      <c r="N422" s="13"/>
      <c r="O422" s="10"/>
      <c r="P422" s="10"/>
      <c r="Q422" s="10"/>
      <c r="R422" s="18"/>
      <c r="S422" s="10"/>
      <c r="T422" s="10"/>
      <c r="U422" s="13"/>
      <c r="V422" s="13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3"/>
      <c r="AL422" s="14"/>
      <c r="AM422" s="15"/>
      <c r="AN422" s="15"/>
      <c r="AO422" s="13"/>
      <c r="AP422" s="13"/>
      <c r="AQ422" s="16"/>
      <c r="AR422" s="10"/>
      <c r="AS422" s="10"/>
      <c r="AT422" s="10"/>
      <c r="AU422" s="10"/>
      <c r="AV422" s="11"/>
      <c r="AW422" s="11"/>
      <c r="AX422" s="10"/>
      <c r="AY422" s="11"/>
      <c r="AZ422" s="11"/>
      <c r="BA422" s="11"/>
      <c r="BB422" s="10"/>
      <c r="BC422" s="11"/>
      <c r="BD422" s="11"/>
      <c r="BE422" s="11"/>
      <c r="BF422" s="11"/>
      <c r="BG422" s="11"/>
      <c r="BH422" s="11"/>
      <c r="BI422" s="11"/>
      <c r="BJ422" s="11"/>
      <c r="BK422" s="11"/>
      <c r="BL422" s="11"/>
      <c r="BM422" s="11"/>
      <c r="BN422" s="11"/>
      <c r="BO422" s="11"/>
      <c r="BP422" s="11"/>
      <c r="BQ422" s="11"/>
      <c r="BR422" s="11"/>
      <c r="BS422" s="11"/>
      <c r="BT422" s="11"/>
      <c r="BU422" s="11"/>
      <c r="BV422" s="11"/>
      <c r="BW422" s="11"/>
      <c r="BX422" s="11"/>
      <c r="BY422" s="11"/>
      <c r="BZ422" s="11"/>
      <c r="CA422" s="11"/>
      <c r="CB422" s="11"/>
      <c r="CC422" s="17"/>
      <c r="CD422" s="17"/>
      <c r="CE422" s="11"/>
      <c r="CF422" s="13"/>
      <c r="CG422" s="13"/>
      <c r="CH422" s="13"/>
      <c r="CI422" s="13"/>
      <c r="CJ422" s="13"/>
    </row>
    <row r="423" spans="1:88" s="9" customFormat="1" x14ac:dyDescent="0.25">
      <c r="A423" s="10"/>
      <c r="B423" s="10"/>
      <c r="C423" s="10"/>
      <c r="D423" s="10"/>
      <c r="E423" s="11"/>
      <c r="F423" s="10"/>
      <c r="G423" s="10"/>
      <c r="H423" s="10"/>
      <c r="I423" s="10"/>
      <c r="J423" s="10"/>
      <c r="K423" s="12"/>
      <c r="L423" s="10"/>
      <c r="M423" s="10"/>
      <c r="N423" s="13"/>
      <c r="O423" s="10"/>
      <c r="P423" s="10"/>
      <c r="Q423" s="10"/>
      <c r="R423" s="18"/>
      <c r="S423" s="10"/>
      <c r="T423" s="10"/>
      <c r="U423" s="13"/>
      <c r="V423" s="13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3"/>
      <c r="AL423" s="14"/>
      <c r="AM423" s="15"/>
      <c r="AN423" s="15"/>
      <c r="AO423" s="13"/>
      <c r="AP423" s="13"/>
      <c r="AQ423" s="16"/>
      <c r="AR423" s="10"/>
      <c r="AS423" s="10"/>
      <c r="AT423" s="10"/>
      <c r="AU423" s="10"/>
      <c r="AV423" s="11"/>
      <c r="AW423" s="11"/>
      <c r="AX423" s="10"/>
      <c r="AY423" s="11"/>
      <c r="AZ423" s="11"/>
      <c r="BA423" s="11"/>
      <c r="BB423" s="10"/>
      <c r="BC423" s="11"/>
      <c r="BD423" s="11"/>
      <c r="BE423" s="11"/>
      <c r="BF423" s="11"/>
      <c r="BG423" s="11"/>
      <c r="BH423" s="11"/>
      <c r="BI423" s="11"/>
      <c r="BJ423" s="11"/>
      <c r="BK423" s="11"/>
      <c r="BL423" s="11"/>
      <c r="BM423" s="11"/>
      <c r="BN423" s="11"/>
      <c r="BO423" s="11"/>
      <c r="BP423" s="11"/>
      <c r="BQ423" s="11"/>
      <c r="BR423" s="11"/>
      <c r="BS423" s="11"/>
      <c r="BT423" s="11"/>
      <c r="BU423" s="11"/>
      <c r="BV423" s="11"/>
      <c r="BW423" s="11"/>
      <c r="BX423" s="11"/>
      <c r="BY423" s="11"/>
      <c r="BZ423" s="11"/>
      <c r="CA423" s="11"/>
      <c r="CB423" s="11"/>
      <c r="CC423" s="17"/>
      <c r="CD423" s="17"/>
      <c r="CE423" s="11"/>
      <c r="CF423" s="13"/>
      <c r="CG423" s="13"/>
      <c r="CH423" s="13"/>
      <c r="CI423" s="13"/>
      <c r="CJ423" s="13"/>
    </row>
    <row r="424" spans="1:88" s="9" customFormat="1" x14ac:dyDescent="0.25">
      <c r="A424" s="10"/>
      <c r="B424" s="10"/>
      <c r="C424" s="10"/>
      <c r="D424" s="10"/>
      <c r="E424" s="11"/>
      <c r="F424" s="10"/>
      <c r="G424" s="10"/>
      <c r="H424" s="10"/>
      <c r="I424" s="10"/>
      <c r="J424" s="10"/>
      <c r="K424" s="12"/>
      <c r="L424" s="10"/>
      <c r="M424" s="10"/>
      <c r="N424" s="13"/>
      <c r="O424" s="10"/>
      <c r="P424" s="10"/>
      <c r="Q424" s="10"/>
      <c r="R424" s="18"/>
      <c r="S424" s="10"/>
      <c r="T424" s="10"/>
      <c r="U424" s="13"/>
      <c r="V424" s="13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3"/>
      <c r="AL424" s="14"/>
      <c r="AM424" s="15"/>
      <c r="AN424" s="15"/>
      <c r="AO424" s="13"/>
      <c r="AP424" s="13"/>
      <c r="AQ424" s="16"/>
      <c r="AR424" s="10"/>
      <c r="AS424" s="10"/>
      <c r="AT424" s="10"/>
      <c r="AU424" s="10"/>
      <c r="AV424" s="11"/>
      <c r="AW424" s="11"/>
      <c r="AX424" s="10"/>
      <c r="AY424" s="11"/>
      <c r="AZ424" s="11"/>
      <c r="BA424" s="11"/>
      <c r="BB424" s="10"/>
      <c r="BC424" s="11"/>
      <c r="BD424" s="11"/>
      <c r="BE424" s="11"/>
      <c r="BF424" s="11"/>
      <c r="BG424" s="11"/>
      <c r="BH424" s="11"/>
      <c r="BI424" s="11"/>
      <c r="BJ424" s="11"/>
      <c r="BK424" s="11"/>
      <c r="BL424" s="11"/>
      <c r="BM424" s="11"/>
      <c r="BN424" s="11"/>
      <c r="BO424" s="11"/>
      <c r="BP424" s="11"/>
      <c r="BQ424" s="11"/>
      <c r="BR424" s="11"/>
      <c r="BS424" s="11"/>
      <c r="BT424" s="11"/>
      <c r="BU424" s="11"/>
      <c r="BV424" s="11"/>
      <c r="BW424" s="11"/>
      <c r="BX424" s="11"/>
      <c r="BY424" s="11"/>
      <c r="BZ424" s="11"/>
      <c r="CA424" s="11"/>
      <c r="CB424" s="11"/>
      <c r="CC424" s="17"/>
      <c r="CD424" s="17"/>
      <c r="CE424" s="11"/>
      <c r="CF424" s="13"/>
      <c r="CG424" s="13"/>
      <c r="CH424" s="13"/>
      <c r="CI424" s="13"/>
      <c r="CJ424" s="13"/>
    </row>
    <row r="425" spans="1:88" s="9" customFormat="1" x14ac:dyDescent="0.25">
      <c r="A425" s="10"/>
      <c r="B425" s="10"/>
      <c r="C425" s="10"/>
      <c r="D425" s="10"/>
      <c r="E425" s="11"/>
      <c r="F425" s="10"/>
      <c r="G425" s="10"/>
      <c r="H425" s="10"/>
      <c r="I425" s="10"/>
      <c r="J425" s="10"/>
      <c r="K425" s="12"/>
      <c r="L425" s="10"/>
      <c r="M425" s="10"/>
      <c r="N425" s="13"/>
      <c r="O425" s="10"/>
      <c r="P425" s="10"/>
      <c r="Q425" s="10"/>
      <c r="R425" s="18"/>
      <c r="S425" s="10"/>
      <c r="T425" s="10"/>
      <c r="U425" s="13"/>
      <c r="V425" s="13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3"/>
      <c r="AL425" s="14"/>
      <c r="AM425" s="15"/>
      <c r="AN425" s="15"/>
      <c r="AO425" s="13"/>
      <c r="AP425" s="13"/>
      <c r="AQ425" s="16"/>
      <c r="AR425" s="10"/>
      <c r="AS425" s="10"/>
      <c r="AT425" s="10"/>
      <c r="AU425" s="10"/>
      <c r="AV425" s="11"/>
      <c r="AW425" s="11"/>
      <c r="AX425" s="10"/>
      <c r="AY425" s="11"/>
      <c r="AZ425" s="11"/>
      <c r="BA425" s="11"/>
      <c r="BB425" s="10"/>
      <c r="BC425" s="11"/>
      <c r="BD425" s="11"/>
      <c r="BE425" s="11"/>
      <c r="BF425" s="11"/>
      <c r="BG425" s="11"/>
      <c r="BH425" s="11"/>
      <c r="BI425" s="11"/>
      <c r="BJ425" s="11"/>
      <c r="BK425" s="11"/>
      <c r="BL425" s="11"/>
      <c r="BM425" s="11"/>
      <c r="BN425" s="11"/>
      <c r="BO425" s="11"/>
      <c r="BP425" s="11"/>
      <c r="BQ425" s="11"/>
      <c r="BR425" s="11"/>
      <c r="BS425" s="11"/>
      <c r="BT425" s="11"/>
      <c r="BU425" s="11"/>
      <c r="BV425" s="11"/>
      <c r="BW425" s="11"/>
      <c r="BX425" s="11"/>
      <c r="BY425" s="11"/>
      <c r="BZ425" s="11"/>
      <c r="CA425" s="11"/>
      <c r="CB425" s="11"/>
      <c r="CC425" s="17"/>
      <c r="CD425" s="17"/>
      <c r="CE425" s="11"/>
      <c r="CF425" s="13"/>
      <c r="CG425" s="13"/>
      <c r="CH425" s="13"/>
      <c r="CI425" s="13"/>
      <c r="CJ425" s="13"/>
    </row>
    <row r="426" spans="1:88" s="9" customFormat="1" x14ac:dyDescent="0.25">
      <c r="A426" s="10"/>
      <c r="B426" s="10"/>
      <c r="C426" s="10"/>
      <c r="D426" s="10"/>
      <c r="E426" s="11"/>
      <c r="F426" s="10"/>
      <c r="G426" s="10"/>
      <c r="H426" s="10"/>
      <c r="I426" s="10"/>
      <c r="J426" s="10"/>
      <c r="K426" s="12"/>
      <c r="L426" s="10"/>
      <c r="M426" s="10"/>
      <c r="N426" s="13"/>
      <c r="O426" s="10"/>
      <c r="P426" s="10"/>
      <c r="Q426" s="10"/>
      <c r="R426" s="18"/>
      <c r="S426" s="10"/>
      <c r="T426" s="10"/>
      <c r="U426" s="13"/>
      <c r="V426" s="13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3"/>
      <c r="AL426" s="14"/>
      <c r="AM426" s="15"/>
      <c r="AN426" s="15"/>
      <c r="AO426" s="13"/>
      <c r="AP426" s="13"/>
      <c r="AQ426" s="16"/>
      <c r="AR426" s="10"/>
      <c r="AS426" s="10"/>
      <c r="AT426" s="10"/>
      <c r="AU426" s="10"/>
      <c r="AV426" s="11"/>
      <c r="AW426" s="11"/>
      <c r="AX426" s="10"/>
      <c r="AY426" s="11"/>
      <c r="AZ426" s="11"/>
      <c r="BA426" s="11"/>
      <c r="BB426" s="10"/>
      <c r="BC426" s="11"/>
      <c r="BD426" s="11"/>
      <c r="BE426" s="11"/>
      <c r="BF426" s="11"/>
      <c r="BG426" s="11"/>
      <c r="BH426" s="11"/>
      <c r="BI426" s="11"/>
      <c r="BJ426" s="11"/>
      <c r="BK426" s="11"/>
      <c r="BL426" s="11"/>
      <c r="BM426" s="11"/>
      <c r="BN426" s="11"/>
      <c r="BO426" s="11"/>
      <c r="BP426" s="11"/>
      <c r="BQ426" s="11"/>
      <c r="BR426" s="11"/>
      <c r="BS426" s="11"/>
      <c r="BT426" s="11"/>
      <c r="BU426" s="11"/>
      <c r="BV426" s="11"/>
      <c r="BW426" s="11"/>
      <c r="BX426" s="11"/>
      <c r="BY426" s="11"/>
      <c r="BZ426" s="11"/>
      <c r="CA426" s="11"/>
      <c r="CB426" s="11"/>
      <c r="CC426" s="17"/>
      <c r="CD426" s="17"/>
      <c r="CE426" s="11"/>
      <c r="CF426" s="13"/>
      <c r="CG426" s="13"/>
      <c r="CH426" s="13"/>
      <c r="CI426" s="13"/>
      <c r="CJ426" s="13"/>
    </row>
    <row r="427" spans="1:88" s="9" customFormat="1" x14ac:dyDescent="0.25">
      <c r="A427" s="10"/>
      <c r="B427" s="10"/>
      <c r="C427" s="10"/>
      <c r="D427" s="10"/>
      <c r="E427" s="11"/>
      <c r="F427" s="10"/>
      <c r="G427" s="10"/>
      <c r="H427" s="10"/>
      <c r="I427" s="10"/>
      <c r="J427" s="10"/>
      <c r="K427" s="12"/>
      <c r="L427" s="10"/>
      <c r="M427" s="10"/>
      <c r="N427" s="13"/>
      <c r="O427" s="10"/>
      <c r="P427" s="10"/>
      <c r="Q427" s="10"/>
      <c r="R427" s="18"/>
      <c r="S427" s="10"/>
      <c r="T427" s="10"/>
      <c r="U427" s="13"/>
      <c r="V427" s="13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3"/>
      <c r="AL427" s="14"/>
      <c r="AM427" s="15"/>
      <c r="AN427" s="15"/>
      <c r="AO427" s="13"/>
      <c r="AP427" s="13"/>
      <c r="AQ427" s="16"/>
      <c r="AR427" s="10"/>
      <c r="AS427" s="10"/>
      <c r="AT427" s="10"/>
      <c r="AU427" s="10"/>
      <c r="AV427" s="11"/>
      <c r="AW427" s="11"/>
      <c r="AX427" s="10"/>
      <c r="AY427" s="11"/>
      <c r="AZ427" s="11"/>
      <c r="BA427" s="11"/>
      <c r="BB427" s="10"/>
      <c r="BC427" s="11"/>
      <c r="BD427" s="11"/>
      <c r="BE427" s="11"/>
      <c r="BF427" s="11"/>
      <c r="BG427" s="11"/>
      <c r="BH427" s="11"/>
      <c r="BI427" s="11"/>
      <c r="BJ427" s="11"/>
      <c r="BK427" s="11"/>
      <c r="BL427" s="11"/>
      <c r="BM427" s="11"/>
      <c r="BN427" s="11"/>
      <c r="BO427" s="11"/>
      <c r="BP427" s="11"/>
      <c r="BQ427" s="11"/>
      <c r="BR427" s="11"/>
      <c r="BS427" s="11"/>
      <c r="BT427" s="11"/>
      <c r="BU427" s="11"/>
      <c r="BV427" s="11"/>
      <c r="BW427" s="11"/>
      <c r="BX427" s="11"/>
      <c r="BY427" s="11"/>
      <c r="BZ427" s="11"/>
      <c r="CA427" s="11"/>
      <c r="CB427" s="11"/>
      <c r="CC427" s="17"/>
      <c r="CD427" s="17"/>
      <c r="CE427" s="11"/>
      <c r="CF427" s="13"/>
      <c r="CG427" s="13"/>
      <c r="CH427" s="13"/>
      <c r="CI427" s="13"/>
      <c r="CJ427" s="13"/>
    </row>
    <row r="428" spans="1:88" s="9" customFormat="1" x14ac:dyDescent="0.25">
      <c r="A428" s="10"/>
      <c r="B428" s="10"/>
      <c r="C428" s="10"/>
      <c r="D428" s="10"/>
      <c r="E428" s="11"/>
      <c r="F428" s="10"/>
      <c r="G428" s="10"/>
      <c r="H428" s="10"/>
      <c r="I428" s="10"/>
      <c r="J428" s="10"/>
      <c r="K428" s="12"/>
      <c r="L428" s="10"/>
      <c r="M428" s="10"/>
      <c r="N428" s="13"/>
      <c r="O428" s="10"/>
      <c r="P428" s="10"/>
      <c r="Q428" s="10"/>
      <c r="R428" s="18"/>
      <c r="S428" s="10"/>
      <c r="T428" s="10"/>
      <c r="U428" s="13"/>
      <c r="V428" s="13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3"/>
      <c r="AL428" s="14"/>
      <c r="AM428" s="15"/>
      <c r="AN428" s="15"/>
      <c r="AO428" s="13"/>
      <c r="AP428" s="13"/>
      <c r="AQ428" s="16"/>
      <c r="AR428" s="10"/>
      <c r="AS428" s="10"/>
      <c r="AT428" s="10"/>
      <c r="AU428" s="10"/>
      <c r="AV428" s="11"/>
      <c r="AW428" s="11"/>
      <c r="AX428" s="10"/>
      <c r="AY428" s="11"/>
      <c r="AZ428" s="11"/>
      <c r="BA428" s="11"/>
      <c r="BB428" s="10"/>
      <c r="BC428" s="11"/>
      <c r="BD428" s="11"/>
      <c r="BE428" s="11"/>
      <c r="BF428" s="11"/>
      <c r="BG428" s="11"/>
      <c r="BH428" s="11"/>
      <c r="BI428" s="11"/>
      <c r="BJ428" s="11"/>
      <c r="BK428" s="11"/>
      <c r="BL428" s="11"/>
      <c r="BM428" s="11"/>
      <c r="BN428" s="11"/>
      <c r="BO428" s="11"/>
      <c r="BP428" s="11"/>
      <c r="BQ428" s="11"/>
      <c r="BR428" s="11"/>
      <c r="BS428" s="11"/>
      <c r="BT428" s="11"/>
      <c r="BU428" s="11"/>
      <c r="BV428" s="11"/>
      <c r="BW428" s="11"/>
      <c r="BX428" s="11"/>
      <c r="BY428" s="11"/>
      <c r="BZ428" s="11"/>
      <c r="CA428" s="11"/>
      <c r="CB428" s="11"/>
      <c r="CC428" s="17"/>
      <c r="CD428" s="17"/>
      <c r="CE428" s="11"/>
      <c r="CF428" s="13"/>
      <c r="CG428" s="13"/>
      <c r="CH428" s="13"/>
      <c r="CI428" s="13"/>
      <c r="CJ428" s="13"/>
    </row>
    <row r="429" spans="1:88" s="9" customFormat="1" x14ac:dyDescent="0.25">
      <c r="A429" s="10"/>
      <c r="B429" s="10"/>
      <c r="C429" s="10"/>
      <c r="D429" s="10"/>
      <c r="E429" s="11"/>
      <c r="F429" s="10"/>
      <c r="G429" s="10"/>
      <c r="H429" s="10"/>
      <c r="I429" s="10"/>
      <c r="J429" s="10"/>
      <c r="K429" s="12"/>
      <c r="L429" s="10"/>
      <c r="M429" s="10"/>
      <c r="N429" s="13"/>
      <c r="O429" s="10"/>
      <c r="P429" s="10"/>
      <c r="Q429" s="10"/>
      <c r="R429" s="18"/>
      <c r="S429" s="10"/>
      <c r="T429" s="10"/>
      <c r="U429" s="13"/>
      <c r="V429" s="13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3"/>
      <c r="AL429" s="14"/>
      <c r="AM429" s="15"/>
      <c r="AN429" s="15"/>
      <c r="AO429" s="13"/>
      <c r="AP429" s="13"/>
      <c r="AQ429" s="16"/>
      <c r="AR429" s="10"/>
      <c r="AS429" s="10"/>
      <c r="AT429" s="10"/>
      <c r="AU429" s="10"/>
      <c r="AV429" s="11"/>
      <c r="AW429" s="11"/>
      <c r="AX429" s="10"/>
      <c r="AY429" s="11"/>
      <c r="AZ429" s="11"/>
      <c r="BA429" s="11"/>
      <c r="BB429" s="10"/>
      <c r="BC429" s="11"/>
      <c r="BD429" s="11"/>
      <c r="BE429" s="11"/>
      <c r="BF429" s="11"/>
      <c r="BG429" s="11"/>
      <c r="BH429" s="11"/>
      <c r="BI429" s="11"/>
      <c r="BJ429" s="11"/>
      <c r="BK429" s="11"/>
      <c r="BL429" s="11"/>
      <c r="BM429" s="11"/>
      <c r="BN429" s="11"/>
      <c r="BO429" s="11"/>
      <c r="BP429" s="11"/>
      <c r="BQ429" s="11"/>
      <c r="BR429" s="11"/>
      <c r="BS429" s="11"/>
      <c r="BT429" s="11"/>
      <c r="BU429" s="11"/>
      <c r="BV429" s="11"/>
      <c r="BW429" s="11"/>
      <c r="BX429" s="11"/>
      <c r="BY429" s="11"/>
      <c r="BZ429" s="11"/>
      <c r="CA429" s="11"/>
      <c r="CB429" s="11"/>
      <c r="CC429" s="17"/>
      <c r="CD429" s="17"/>
      <c r="CE429" s="11"/>
      <c r="CF429" s="13"/>
      <c r="CG429" s="13"/>
      <c r="CH429" s="13"/>
      <c r="CI429" s="13"/>
      <c r="CJ429" s="13"/>
    </row>
    <row r="430" spans="1:88" s="9" customFormat="1" x14ac:dyDescent="0.25">
      <c r="A430" s="10"/>
      <c r="B430" s="10"/>
      <c r="C430" s="10"/>
      <c r="D430" s="10"/>
      <c r="E430" s="11"/>
      <c r="F430" s="10"/>
      <c r="G430" s="10"/>
      <c r="H430" s="10"/>
      <c r="I430" s="10"/>
      <c r="J430" s="10"/>
      <c r="K430" s="12"/>
      <c r="L430" s="10"/>
      <c r="M430" s="10"/>
      <c r="N430" s="13"/>
      <c r="O430" s="10"/>
      <c r="P430" s="10"/>
      <c r="Q430" s="10"/>
      <c r="R430" s="18"/>
      <c r="S430" s="10"/>
      <c r="T430" s="10"/>
      <c r="U430" s="13"/>
      <c r="V430" s="13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3"/>
      <c r="AL430" s="14"/>
      <c r="AM430" s="15"/>
      <c r="AN430" s="15"/>
      <c r="AO430" s="13"/>
      <c r="AP430" s="13"/>
      <c r="AQ430" s="16"/>
      <c r="AR430" s="10"/>
      <c r="AS430" s="10"/>
      <c r="AT430" s="10"/>
      <c r="AU430" s="10"/>
      <c r="AV430" s="11"/>
      <c r="AW430" s="11"/>
      <c r="AX430" s="10"/>
      <c r="AY430" s="11"/>
      <c r="AZ430" s="11"/>
      <c r="BA430" s="11"/>
      <c r="BB430" s="10"/>
      <c r="BC430" s="11"/>
      <c r="BD430" s="11"/>
      <c r="BE430" s="11"/>
      <c r="BF430" s="11"/>
      <c r="BG430" s="11"/>
      <c r="BH430" s="11"/>
      <c r="BI430" s="11"/>
      <c r="BJ430" s="11"/>
      <c r="BK430" s="11"/>
      <c r="BL430" s="11"/>
      <c r="BM430" s="11"/>
      <c r="BN430" s="11"/>
      <c r="BO430" s="11"/>
      <c r="BP430" s="11"/>
      <c r="BQ430" s="11"/>
      <c r="BR430" s="11"/>
      <c r="BS430" s="11"/>
      <c r="BT430" s="11"/>
      <c r="BU430" s="11"/>
      <c r="BV430" s="11"/>
      <c r="BW430" s="11"/>
      <c r="BX430" s="11"/>
      <c r="BY430" s="11"/>
      <c r="BZ430" s="11"/>
      <c r="CA430" s="11"/>
      <c r="CB430" s="11"/>
      <c r="CC430" s="17"/>
      <c r="CD430" s="17"/>
      <c r="CE430" s="11"/>
      <c r="CF430" s="13"/>
      <c r="CG430" s="13"/>
      <c r="CH430" s="13"/>
      <c r="CI430" s="13"/>
      <c r="CJ430" s="13"/>
    </row>
    <row r="431" spans="1:88" s="9" customFormat="1" x14ac:dyDescent="0.25">
      <c r="A431" s="10"/>
      <c r="B431" s="10"/>
      <c r="C431" s="10"/>
      <c r="D431" s="10"/>
      <c r="E431" s="11"/>
      <c r="F431" s="10"/>
      <c r="G431" s="10"/>
      <c r="H431" s="10"/>
      <c r="I431" s="10"/>
      <c r="J431" s="10"/>
      <c r="K431" s="12"/>
      <c r="L431" s="10"/>
      <c r="M431" s="10"/>
      <c r="N431" s="13"/>
      <c r="O431" s="10"/>
      <c r="P431" s="10"/>
      <c r="Q431" s="10"/>
      <c r="R431" s="18"/>
      <c r="S431" s="10"/>
      <c r="T431" s="10"/>
      <c r="U431" s="13"/>
      <c r="V431" s="13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3"/>
      <c r="AL431" s="14"/>
      <c r="AM431" s="15"/>
      <c r="AN431" s="15"/>
      <c r="AO431" s="13"/>
      <c r="AP431" s="13"/>
      <c r="AQ431" s="16"/>
      <c r="AR431" s="10"/>
      <c r="AS431" s="10"/>
      <c r="AT431" s="10"/>
      <c r="AU431" s="10"/>
      <c r="AV431" s="11"/>
      <c r="AW431" s="11"/>
      <c r="AX431" s="10"/>
      <c r="AY431" s="11"/>
      <c r="AZ431" s="11"/>
      <c r="BA431" s="11"/>
      <c r="BB431" s="10"/>
      <c r="BC431" s="11"/>
      <c r="BD431" s="11"/>
      <c r="BE431" s="11"/>
      <c r="BF431" s="11"/>
      <c r="BG431" s="11"/>
      <c r="BH431" s="11"/>
      <c r="BI431" s="11"/>
      <c r="BJ431" s="11"/>
      <c r="BK431" s="11"/>
      <c r="BL431" s="11"/>
      <c r="BM431" s="11"/>
      <c r="BN431" s="11"/>
      <c r="BO431" s="11"/>
      <c r="BP431" s="11"/>
      <c r="BQ431" s="11"/>
      <c r="BR431" s="11"/>
      <c r="BS431" s="11"/>
      <c r="BT431" s="11"/>
      <c r="BU431" s="11"/>
      <c r="BV431" s="11"/>
      <c r="BW431" s="11"/>
      <c r="BX431" s="11"/>
      <c r="BY431" s="11"/>
      <c r="BZ431" s="11"/>
      <c r="CA431" s="11"/>
      <c r="CB431" s="11"/>
      <c r="CC431" s="17"/>
      <c r="CD431" s="17"/>
      <c r="CE431" s="11"/>
      <c r="CF431" s="13"/>
      <c r="CG431" s="13"/>
      <c r="CH431" s="13"/>
      <c r="CI431" s="13"/>
      <c r="CJ431" s="13"/>
    </row>
    <row r="432" spans="1:88" s="9" customFormat="1" x14ac:dyDescent="0.25">
      <c r="A432" s="10"/>
      <c r="B432" s="10"/>
      <c r="C432" s="10"/>
      <c r="D432" s="10"/>
      <c r="E432" s="11"/>
      <c r="F432" s="10"/>
      <c r="G432" s="10"/>
      <c r="H432" s="10"/>
      <c r="I432" s="10"/>
      <c r="J432" s="10"/>
      <c r="K432" s="12"/>
      <c r="L432" s="10"/>
      <c r="M432" s="10"/>
      <c r="N432" s="13"/>
      <c r="O432" s="10"/>
      <c r="P432" s="10"/>
      <c r="Q432" s="10"/>
      <c r="R432" s="18"/>
      <c r="S432" s="10"/>
      <c r="T432" s="10"/>
      <c r="U432" s="13"/>
      <c r="V432" s="13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3"/>
      <c r="AL432" s="14"/>
      <c r="AM432" s="15"/>
      <c r="AN432" s="15"/>
      <c r="AO432" s="13"/>
      <c r="AP432" s="13"/>
      <c r="AQ432" s="16"/>
      <c r="AR432" s="10"/>
      <c r="AS432" s="10"/>
      <c r="AT432" s="10"/>
      <c r="AU432" s="10"/>
      <c r="AV432" s="11"/>
      <c r="AW432" s="11"/>
      <c r="AX432" s="10"/>
      <c r="AY432" s="11"/>
      <c r="AZ432" s="11"/>
      <c r="BA432" s="11"/>
      <c r="BB432" s="10"/>
      <c r="BC432" s="11"/>
      <c r="BD432" s="11"/>
      <c r="BE432" s="11"/>
      <c r="BF432" s="11"/>
      <c r="BG432" s="11"/>
      <c r="BH432" s="11"/>
      <c r="BI432" s="11"/>
      <c r="BJ432" s="11"/>
      <c r="BK432" s="11"/>
      <c r="BL432" s="11"/>
      <c r="BM432" s="11"/>
      <c r="BN432" s="11"/>
      <c r="BO432" s="11"/>
      <c r="BP432" s="11"/>
      <c r="BQ432" s="11"/>
      <c r="BR432" s="11"/>
      <c r="BS432" s="11"/>
      <c r="BT432" s="11"/>
      <c r="BU432" s="11"/>
      <c r="BV432" s="11"/>
      <c r="BW432" s="11"/>
      <c r="BX432" s="11"/>
      <c r="BY432" s="11"/>
      <c r="BZ432" s="11"/>
      <c r="CA432" s="11"/>
      <c r="CB432" s="11"/>
      <c r="CC432" s="17"/>
      <c r="CD432" s="17"/>
      <c r="CE432" s="11"/>
      <c r="CF432" s="13"/>
      <c r="CG432" s="13"/>
      <c r="CH432" s="13"/>
      <c r="CI432" s="13"/>
      <c r="CJ432" s="13"/>
    </row>
    <row r="433" spans="1:88" s="9" customFormat="1" x14ac:dyDescent="0.25">
      <c r="A433" s="10"/>
      <c r="B433" s="10"/>
      <c r="C433" s="10"/>
      <c r="D433" s="10"/>
      <c r="E433" s="11"/>
      <c r="F433" s="10"/>
      <c r="G433" s="10"/>
      <c r="H433" s="10"/>
      <c r="I433" s="10"/>
      <c r="J433" s="10"/>
      <c r="K433" s="12"/>
      <c r="L433" s="10"/>
      <c r="M433" s="10"/>
      <c r="N433" s="13"/>
      <c r="O433" s="10"/>
      <c r="P433" s="10"/>
      <c r="Q433" s="10"/>
      <c r="R433" s="18"/>
      <c r="S433" s="10"/>
      <c r="T433" s="10"/>
      <c r="U433" s="13"/>
      <c r="V433" s="13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3"/>
      <c r="AL433" s="14"/>
      <c r="AM433" s="15"/>
      <c r="AN433" s="15"/>
      <c r="AO433" s="13"/>
      <c r="AP433" s="13"/>
      <c r="AQ433" s="16"/>
      <c r="AR433" s="10"/>
      <c r="AS433" s="10"/>
      <c r="AT433" s="10"/>
      <c r="AU433" s="10"/>
      <c r="AV433" s="11"/>
      <c r="AW433" s="11"/>
      <c r="AX433" s="10"/>
      <c r="AY433" s="11"/>
      <c r="AZ433" s="11"/>
      <c r="BA433" s="11"/>
      <c r="BB433" s="10"/>
      <c r="BC433" s="11"/>
      <c r="BD433" s="11"/>
      <c r="BE433" s="11"/>
      <c r="BF433" s="11"/>
      <c r="BG433" s="11"/>
      <c r="BH433" s="11"/>
      <c r="BI433" s="11"/>
      <c r="BJ433" s="11"/>
      <c r="BK433" s="11"/>
      <c r="BL433" s="11"/>
      <c r="BM433" s="11"/>
      <c r="BN433" s="11"/>
      <c r="BO433" s="11"/>
      <c r="BP433" s="11"/>
      <c r="BQ433" s="11"/>
      <c r="BR433" s="11"/>
      <c r="BS433" s="11"/>
      <c r="BT433" s="11"/>
      <c r="BU433" s="11"/>
      <c r="BV433" s="11"/>
      <c r="BW433" s="11"/>
      <c r="BX433" s="11"/>
      <c r="BY433" s="11"/>
      <c r="BZ433" s="11"/>
      <c r="CA433" s="11"/>
      <c r="CB433" s="11"/>
      <c r="CC433" s="17"/>
      <c r="CD433" s="17"/>
      <c r="CE433" s="11"/>
      <c r="CF433" s="13"/>
      <c r="CG433" s="13"/>
      <c r="CH433" s="13"/>
      <c r="CI433" s="13"/>
      <c r="CJ433" s="13"/>
    </row>
    <row r="434" spans="1:88" s="9" customFormat="1" x14ac:dyDescent="0.25">
      <c r="A434" s="10"/>
      <c r="B434" s="10"/>
      <c r="C434" s="10"/>
      <c r="D434" s="10"/>
      <c r="E434" s="11"/>
      <c r="F434" s="10"/>
      <c r="G434" s="10"/>
      <c r="H434" s="10"/>
      <c r="I434" s="10"/>
      <c r="J434" s="10"/>
      <c r="K434" s="12"/>
      <c r="L434" s="10"/>
      <c r="M434" s="10"/>
      <c r="N434" s="13"/>
      <c r="O434" s="10"/>
      <c r="P434" s="10"/>
      <c r="Q434" s="10"/>
      <c r="R434" s="18"/>
      <c r="S434" s="10"/>
      <c r="T434" s="10"/>
      <c r="U434" s="13"/>
      <c r="V434" s="13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3"/>
      <c r="AL434" s="14"/>
      <c r="AM434" s="15"/>
      <c r="AN434" s="15"/>
      <c r="AO434" s="13"/>
      <c r="AP434" s="13"/>
      <c r="AQ434" s="16"/>
      <c r="AR434" s="10"/>
      <c r="AS434" s="10"/>
      <c r="AT434" s="10"/>
      <c r="AU434" s="10"/>
      <c r="AV434" s="11"/>
      <c r="AW434" s="11"/>
      <c r="AX434" s="10"/>
      <c r="AY434" s="11"/>
      <c r="AZ434" s="11"/>
      <c r="BA434" s="11"/>
      <c r="BB434" s="10"/>
      <c r="BC434" s="11"/>
      <c r="BD434" s="11"/>
      <c r="BE434" s="11"/>
      <c r="BF434" s="11"/>
      <c r="BG434" s="11"/>
      <c r="BH434" s="11"/>
      <c r="BI434" s="11"/>
      <c r="BJ434" s="11"/>
      <c r="BK434" s="11"/>
      <c r="BL434" s="11"/>
      <c r="BM434" s="11"/>
      <c r="BN434" s="11"/>
      <c r="BO434" s="11"/>
      <c r="BP434" s="11"/>
      <c r="BQ434" s="11"/>
      <c r="BR434" s="11"/>
      <c r="BS434" s="11"/>
      <c r="BT434" s="11"/>
      <c r="BU434" s="11"/>
      <c r="BV434" s="11"/>
      <c r="BW434" s="11"/>
      <c r="BX434" s="11"/>
      <c r="BY434" s="11"/>
      <c r="BZ434" s="11"/>
      <c r="CA434" s="11"/>
      <c r="CB434" s="11"/>
      <c r="CC434" s="17"/>
      <c r="CD434" s="17"/>
      <c r="CE434" s="11"/>
      <c r="CF434" s="13"/>
      <c r="CG434" s="13"/>
      <c r="CH434" s="13"/>
      <c r="CI434" s="13"/>
      <c r="CJ434" s="13"/>
    </row>
    <row r="435" spans="1:88" s="9" customFormat="1" x14ac:dyDescent="0.25">
      <c r="A435" s="10"/>
      <c r="B435" s="10"/>
      <c r="C435" s="10"/>
      <c r="D435" s="10"/>
      <c r="E435" s="11"/>
      <c r="F435" s="10"/>
      <c r="G435" s="10"/>
      <c r="H435" s="10"/>
      <c r="I435" s="10"/>
      <c r="J435" s="10"/>
      <c r="K435" s="12"/>
      <c r="L435" s="10"/>
      <c r="M435" s="10"/>
      <c r="N435" s="13"/>
      <c r="O435" s="10"/>
      <c r="P435" s="10"/>
      <c r="Q435" s="10"/>
      <c r="R435" s="18"/>
      <c r="S435" s="10"/>
      <c r="T435" s="10"/>
      <c r="U435" s="13"/>
      <c r="V435" s="13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3"/>
      <c r="AL435" s="14"/>
      <c r="AM435" s="15"/>
      <c r="AN435" s="15"/>
      <c r="AO435" s="13"/>
      <c r="AP435" s="13"/>
      <c r="AQ435" s="16"/>
      <c r="AR435" s="10"/>
      <c r="AS435" s="10"/>
      <c r="AT435" s="10"/>
      <c r="AU435" s="10"/>
      <c r="AV435" s="11"/>
      <c r="AW435" s="11"/>
      <c r="AX435" s="10"/>
      <c r="AY435" s="11"/>
      <c r="AZ435" s="11"/>
      <c r="BA435" s="11"/>
      <c r="BB435" s="10"/>
      <c r="BC435" s="11"/>
      <c r="BD435" s="11"/>
      <c r="BE435" s="11"/>
      <c r="BF435" s="11"/>
      <c r="BG435" s="11"/>
      <c r="BH435" s="11"/>
      <c r="BI435" s="11"/>
      <c r="BJ435" s="11"/>
      <c r="BK435" s="11"/>
      <c r="BL435" s="11"/>
      <c r="BM435" s="11"/>
      <c r="BN435" s="11"/>
      <c r="BO435" s="11"/>
      <c r="BP435" s="11"/>
      <c r="BQ435" s="11"/>
      <c r="BR435" s="11"/>
      <c r="BS435" s="11"/>
      <c r="BT435" s="11"/>
      <c r="BU435" s="11"/>
      <c r="BV435" s="11"/>
      <c r="BW435" s="11"/>
      <c r="BX435" s="11"/>
      <c r="BY435" s="11"/>
      <c r="BZ435" s="11"/>
      <c r="CA435" s="11"/>
      <c r="CB435" s="11"/>
      <c r="CC435" s="17"/>
      <c r="CD435" s="17"/>
      <c r="CE435" s="11"/>
      <c r="CF435" s="13"/>
      <c r="CG435" s="13"/>
      <c r="CH435" s="13"/>
      <c r="CI435" s="13"/>
      <c r="CJ435" s="13"/>
    </row>
    <row r="436" spans="1:88" s="9" customFormat="1" x14ac:dyDescent="0.25">
      <c r="A436" s="10"/>
      <c r="B436" s="10"/>
      <c r="C436" s="10"/>
      <c r="D436" s="10"/>
      <c r="E436" s="11"/>
      <c r="F436" s="10"/>
      <c r="G436" s="10"/>
      <c r="H436" s="10"/>
      <c r="I436" s="10"/>
      <c r="J436" s="10"/>
      <c r="K436" s="12"/>
      <c r="L436" s="10"/>
      <c r="M436" s="10"/>
      <c r="N436" s="13"/>
      <c r="O436" s="10"/>
      <c r="P436" s="10"/>
      <c r="Q436" s="10"/>
      <c r="R436" s="18"/>
      <c r="S436" s="10"/>
      <c r="T436" s="10"/>
      <c r="U436" s="13"/>
      <c r="V436" s="13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3"/>
      <c r="AL436" s="14"/>
      <c r="AM436" s="15"/>
      <c r="AN436" s="15"/>
      <c r="AO436" s="13"/>
      <c r="AP436" s="13"/>
      <c r="AQ436" s="16"/>
      <c r="AR436" s="10"/>
      <c r="AS436" s="10"/>
      <c r="AT436" s="10"/>
      <c r="AU436" s="10"/>
      <c r="AV436" s="11"/>
      <c r="AW436" s="11"/>
      <c r="AX436" s="10"/>
      <c r="AY436" s="11"/>
      <c r="AZ436" s="11"/>
      <c r="BA436" s="11"/>
      <c r="BB436" s="10"/>
      <c r="BC436" s="11"/>
      <c r="BD436" s="11"/>
      <c r="BE436" s="11"/>
      <c r="BF436" s="11"/>
      <c r="BG436" s="11"/>
      <c r="BH436" s="11"/>
      <c r="BI436" s="11"/>
      <c r="BJ436" s="11"/>
      <c r="BK436" s="11"/>
      <c r="BL436" s="11"/>
      <c r="BM436" s="11"/>
      <c r="BN436" s="11"/>
      <c r="BO436" s="11"/>
      <c r="BP436" s="11"/>
      <c r="BQ436" s="11"/>
      <c r="BR436" s="11"/>
      <c r="BS436" s="11"/>
      <c r="BT436" s="11"/>
      <c r="BU436" s="11"/>
      <c r="BV436" s="11"/>
      <c r="BW436" s="11"/>
      <c r="BX436" s="11"/>
      <c r="BY436" s="11"/>
      <c r="BZ436" s="11"/>
      <c r="CA436" s="11"/>
      <c r="CB436" s="11"/>
      <c r="CC436" s="17"/>
      <c r="CD436" s="17"/>
      <c r="CE436" s="11"/>
      <c r="CF436" s="13"/>
      <c r="CG436" s="13"/>
      <c r="CH436" s="13"/>
      <c r="CI436" s="13"/>
      <c r="CJ436" s="13"/>
    </row>
    <row r="437" spans="1:88" s="9" customFormat="1" x14ac:dyDescent="0.25">
      <c r="A437" s="10"/>
      <c r="B437" s="10"/>
      <c r="C437" s="10"/>
      <c r="D437" s="10"/>
      <c r="E437" s="11"/>
      <c r="F437" s="10"/>
      <c r="G437" s="10"/>
      <c r="H437" s="10"/>
      <c r="I437" s="10"/>
      <c r="J437" s="10"/>
      <c r="K437" s="12"/>
      <c r="L437" s="10"/>
      <c r="M437" s="10"/>
      <c r="N437" s="13"/>
      <c r="O437" s="10"/>
      <c r="P437" s="10"/>
      <c r="Q437" s="10"/>
      <c r="R437" s="18"/>
      <c r="S437" s="10"/>
      <c r="T437" s="10"/>
      <c r="U437" s="13"/>
      <c r="V437" s="13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3"/>
      <c r="AL437" s="14"/>
      <c r="AM437" s="15"/>
      <c r="AN437" s="15"/>
      <c r="AO437" s="13"/>
      <c r="AP437" s="13"/>
      <c r="AQ437" s="16"/>
      <c r="AR437" s="10"/>
      <c r="AS437" s="10"/>
      <c r="AT437" s="10"/>
      <c r="AU437" s="10"/>
      <c r="AV437" s="11"/>
      <c r="AW437" s="11"/>
      <c r="AX437" s="10"/>
      <c r="AY437" s="11"/>
      <c r="AZ437" s="11"/>
      <c r="BA437" s="11"/>
      <c r="BB437" s="10"/>
      <c r="BC437" s="11"/>
      <c r="BD437" s="11"/>
      <c r="BE437" s="11"/>
      <c r="BF437" s="11"/>
      <c r="BG437" s="11"/>
      <c r="BH437" s="11"/>
      <c r="BI437" s="11"/>
      <c r="BJ437" s="11"/>
      <c r="BK437" s="11"/>
      <c r="BL437" s="11"/>
      <c r="BM437" s="11"/>
      <c r="BN437" s="11"/>
      <c r="BO437" s="11"/>
      <c r="BP437" s="11"/>
      <c r="BQ437" s="11"/>
      <c r="BR437" s="11"/>
      <c r="BS437" s="11"/>
      <c r="BT437" s="11"/>
      <c r="BU437" s="11"/>
      <c r="BV437" s="11"/>
      <c r="BW437" s="11"/>
      <c r="BX437" s="11"/>
      <c r="BY437" s="11"/>
      <c r="BZ437" s="11"/>
      <c r="CA437" s="11"/>
      <c r="CB437" s="11"/>
      <c r="CC437" s="17"/>
      <c r="CD437" s="17"/>
      <c r="CE437" s="11"/>
      <c r="CF437" s="13"/>
      <c r="CG437" s="13"/>
      <c r="CH437" s="13"/>
      <c r="CI437" s="13"/>
      <c r="CJ437" s="13"/>
    </row>
    <row r="438" spans="1:88" s="9" customFormat="1" x14ac:dyDescent="0.25">
      <c r="A438" s="10"/>
      <c r="B438" s="10"/>
      <c r="C438" s="10"/>
      <c r="D438" s="10"/>
      <c r="E438" s="11"/>
      <c r="F438" s="10"/>
      <c r="G438" s="10"/>
      <c r="H438" s="10"/>
      <c r="I438" s="10"/>
      <c r="J438" s="10"/>
      <c r="K438" s="12"/>
      <c r="L438" s="10"/>
      <c r="M438" s="10"/>
      <c r="N438" s="13"/>
      <c r="O438" s="10"/>
      <c r="P438" s="10"/>
      <c r="Q438" s="10"/>
      <c r="R438" s="18"/>
      <c r="S438" s="10"/>
      <c r="T438" s="10"/>
      <c r="U438" s="13"/>
      <c r="V438" s="13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3"/>
      <c r="AL438" s="14"/>
      <c r="AM438" s="15"/>
      <c r="AN438" s="15"/>
      <c r="AO438" s="13"/>
      <c r="AP438" s="13"/>
      <c r="AQ438" s="16"/>
      <c r="AR438" s="10"/>
      <c r="AS438" s="10"/>
      <c r="AT438" s="10"/>
      <c r="AU438" s="10"/>
      <c r="AV438" s="11"/>
      <c r="AW438" s="11"/>
      <c r="AX438" s="10"/>
      <c r="AY438" s="11"/>
      <c r="AZ438" s="11"/>
      <c r="BA438" s="11"/>
      <c r="BB438" s="10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  <c r="BM438" s="11"/>
      <c r="BN438" s="11"/>
      <c r="BO438" s="11"/>
      <c r="BP438" s="11"/>
      <c r="BQ438" s="11"/>
      <c r="BR438" s="11"/>
      <c r="BS438" s="11"/>
      <c r="BT438" s="11"/>
      <c r="BU438" s="11"/>
      <c r="BV438" s="11"/>
      <c r="BW438" s="11"/>
      <c r="BX438" s="11"/>
      <c r="BY438" s="11"/>
      <c r="BZ438" s="11"/>
      <c r="CA438" s="11"/>
      <c r="CB438" s="11"/>
      <c r="CC438" s="17"/>
      <c r="CD438" s="17"/>
      <c r="CE438" s="11"/>
      <c r="CF438" s="13"/>
      <c r="CG438" s="13"/>
      <c r="CH438" s="13"/>
      <c r="CI438" s="13"/>
      <c r="CJ438" s="13"/>
    </row>
    <row r="439" spans="1:88" s="9" customFormat="1" x14ac:dyDescent="0.25">
      <c r="A439" s="10"/>
      <c r="B439" s="10"/>
      <c r="C439" s="10"/>
      <c r="D439" s="10"/>
      <c r="E439" s="11"/>
      <c r="F439" s="10"/>
      <c r="G439" s="10"/>
      <c r="H439" s="10"/>
      <c r="I439" s="10"/>
      <c r="J439" s="10"/>
      <c r="K439" s="12"/>
      <c r="L439" s="10"/>
      <c r="M439" s="10"/>
      <c r="N439" s="13"/>
      <c r="O439" s="10"/>
      <c r="P439" s="10"/>
      <c r="Q439" s="10"/>
      <c r="R439" s="18"/>
      <c r="S439" s="10"/>
      <c r="T439" s="10"/>
      <c r="U439" s="13"/>
      <c r="V439" s="13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3"/>
      <c r="AL439" s="14"/>
      <c r="AM439" s="15"/>
      <c r="AN439" s="15"/>
      <c r="AO439" s="13"/>
      <c r="AP439" s="13"/>
      <c r="AQ439" s="16"/>
      <c r="AR439" s="10"/>
      <c r="AS439" s="10"/>
      <c r="AT439" s="10"/>
      <c r="AU439" s="10"/>
      <c r="AV439" s="11"/>
      <c r="AW439" s="11"/>
      <c r="AX439" s="10"/>
      <c r="AY439" s="11"/>
      <c r="AZ439" s="11"/>
      <c r="BA439" s="11"/>
      <c r="BB439" s="10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  <c r="BM439" s="11"/>
      <c r="BN439" s="11"/>
      <c r="BO439" s="11"/>
      <c r="BP439" s="11"/>
      <c r="BQ439" s="11"/>
      <c r="BR439" s="11"/>
      <c r="BS439" s="11"/>
      <c r="BT439" s="11"/>
      <c r="BU439" s="11"/>
      <c r="BV439" s="11"/>
      <c r="BW439" s="11"/>
      <c r="BX439" s="11"/>
      <c r="BY439" s="11"/>
      <c r="BZ439" s="11"/>
      <c r="CA439" s="11"/>
      <c r="CB439" s="11"/>
      <c r="CC439" s="17"/>
      <c r="CD439" s="17"/>
      <c r="CE439" s="11"/>
      <c r="CF439" s="13"/>
      <c r="CG439" s="13"/>
      <c r="CH439" s="13"/>
      <c r="CI439" s="13"/>
      <c r="CJ439" s="13"/>
    </row>
    <row r="440" spans="1:88" s="9" customFormat="1" x14ac:dyDescent="0.25">
      <c r="A440" s="10"/>
      <c r="B440" s="10"/>
      <c r="C440" s="10"/>
      <c r="D440" s="10"/>
      <c r="E440" s="11"/>
      <c r="F440" s="10"/>
      <c r="G440" s="10"/>
      <c r="H440" s="10"/>
      <c r="I440" s="10"/>
      <c r="J440" s="10"/>
      <c r="K440" s="12"/>
      <c r="L440" s="10"/>
      <c r="M440" s="10"/>
      <c r="N440" s="13"/>
      <c r="O440" s="10"/>
      <c r="P440" s="10"/>
      <c r="Q440" s="10"/>
      <c r="R440" s="18"/>
      <c r="S440" s="10"/>
      <c r="T440" s="10"/>
      <c r="U440" s="13"/>
      <c r="V440" s="13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3"/>
      <c r="AL440" s="14"/>
      <c r="AM440" s="15"/>
      <c r="AN440" s="15"/>
      <c r="AO440" s="13"/>
      <c r="AP440" s="13"/>
      <c r="AQ440" s="16"/>
      <c r="AR440" s="10"/>
      <c r="AS440" s="10"/>
      <c r="AT440" s="10"/>
      <c r="AU440" s="10"/>
      <c r="AV440" s="11"/>
      <c r="AW440" s="11"/>
      <c r="AX440" s="10"/>
      <c r="AY440" s="11"/>
      <c r="AZ440" s="11"/>
      <c r="BA440" s="11"/>
      <c r="BB440" s="10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  <c r="BM440" s="11"/>
      <c r="BN440" s="11"/>
      <c r="BO440" s="11"/>
      <c r="BP440" s="11"/>
      <c r="BQ440" s="11"/>
      <c r="BR440" s="11"/>
      <c r="BS440" s="11"/>
      <c r="BT440" s="11"/>
      <c r="BU440" s="11"/>
      <c r="BV440" s="11"/>
      <c r="BW440" s="11"/>
      <c r="BX440" s="11"/>
      <c r="BY440" s="11"/>
      <c r="BZ440" s="11"/>
      <c r="CA440" s="11"/>
      <c r="CB440" s="11"/>
      <c r="CC440" s="17"/>
      <c r="CD440" s="17"/>
      <c r="CE440" s="11"/>
      <c r="CF440" s="13"/>
      <c r="CG440" s="13"/>
      <c r="CH440" s="13"/>
      <c r="CI440" s="13"/>
      <c r="CJ440" s="13"/>
    </row>
    <row r="441" spans="1:88" s="9" customFormat="1" x14ac:dyDescent="0.25">
      <c r="A441" s="10"/>
      <c r="B441" s="10"/>
      <c r="C441" s="10"/>
      <c r="D441" s="10"/>
      <c r="E441" s="11"/>
      <c r="F441" s="10"/>
      <c r="G441" s="10"/>
      <c r="H441" s="10"/>
      <c r="I441" s="10"/>
      <c r="J441" s="10"/>
      <c r="K441" s="12"/>
      <c r="L441" s="10"/>
      <c r="M441" s="10"/>
      <c r="N441" s="13"/>
      <c r="O441" s="10"/>
      <c r="P441" s="10"/>
      <c r="Q441" s="10"/>
      <c r="R441" s="18"/>
      <c r="S441" s="10"/>
      <c r="T441" s="10"/>
      <c r="U441" s="13"/>
      <c r="V441" s="13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3"/>
      <c r="AL441" s="14"/>
      <c r="AM441" s="15"/>
      <c r="AN441" s="15"/>
      <c r="AO441" s="13"/>
      <c r="AP441" s="13"/>
      <c r="AQ441" s="16"/>
      <c r="AR441" s="10"/>
      <c r="AS441" s="10"/>
      <c r="AT441" s="10"/>
      <c r="AU441" s="10"/>
      <c r="AV441" s="11"/>
      <c r="AW441" s="11"/>
      <c r="AX441" s="10"/>
      <c r="AY441" s="11"/>
      <c r="AZ441" s="11"/>
      <c r="BA441" s="11"/>
      <c r="BB441" s="10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  <c r="BM441" s="11"/>
      <c r="BN441" s="11"/>
      <c r="BO441" s="11"/>
      <c r="BP441" s="11"/>
      <c r="BQ441" s="11"/>
      <c r="BR441" s="11"/>
      <c r="BS441" s="11"/>
      <c r="BT441" s="11"/>
      <c r="BU441" s="11"/>
      <c r="BV441" s="11"/>
      <c r="BW441" s="11"/>
      <c r="BX441" s="11"/>
      <c r="BY441" s="11"/>
      <c r="BZ441" s="11"/>
      <c r="CA441" s="11"/>
      <c r="CB441" s="11"/>
      <c r="CC441" s="17"/>
      <c r="CD441" s="17"/>
      <c r="CE441" s="11"/>
      <c r="CF441" s="13"/>
      <c r="CG441" s="13"/>
      <c r="CH441" s="13"/>
      <c r="CI441" s="13"/>
      <c r="CJ441" s="13"/>
    </row>
    <row r="442" spans="1:88" s="9" customFormat="1" x14ac:dyDescent="0.25">
      <c r="A442" s="10"/>
      <c r="B442" s="10"/>
      <c r="C442" s="10"/>
      <c r="D442" s="10"/>
      <c r="E442" s="11"/>
      <c r="F442" s="10"/>
      <c r="G442" s="10"/>
      <c r="H442" s="10"/>
      <c r="I442" s="10"/>
      <c r="J442" s="10"/>
      <c r="K442" s="12"/>
      <c r="L442" s="10"/>
      <c r="M442" s="10"/>
      <c r="N442" s="13"/>
      <c r="O442" s="10"/>
      <c r="P442" s="10"/>
      <c r="Q442" s="10"/>
      <c r="R442" s="18"/>
      <c r="S442" s="10"/>
      <c r="T442" s="10"/>
      <c r="U442" s="13"/>
      <c r="V442" s="13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3"/>
      <c r="AL442" s="14"/>
      <c r="AM442" s="15"/>
      <c r="AN442" s="15"/>
      <c r="AO442" s="13"/>
      <c r="AP442" s="13"/>
      <c r="AQ442" s="16"/>
      <c r="AR442" s="10"/>
      <c r="AS442" s="10"/>
      <c r="AT442" s="10"/>
      <c r="AU442" s="10"/>
      <c r="AV442" s="11"/>
      <c r="AW442" s="11"/>
      <c r="AX442" s="10"/>
      <c r="AY442" s="11"/>
      <c r="AZ442" s="11"/>
      <c r="BA442" s="11"/>
      <c r="BB442" s="10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  <c r="BM442" s="11"/>
      <c r="BN442" s="11"/>
      <c r="BO442" s="11"/>
      <c r="BP442" s="11"/>
      <c r="BQ442" s="11"/>
      <c r="BR442" s="11"/>
      <c r="BS442" s="11"/>
      <c r="BT442" s="11"/>
      <c r="BU442" s="11"/>
      <c r="BV442" s="11"/>
      <c r="BW442" s="11"/>
      <c r="BX442" s="11"/>
      <c r="BY442" s="11"/>
      <c r="BZ442" s="11"/>
      <c r="CA442" s="11"/>
      <c r="CB442" s="11"/>
      <c r="CC442" s="17"/>
      <c r="CD442" s="17"/>
      <c r="CE442" s="11"/>
      <c r="CF442" s="13"/>
      <c r="CG442" s="13"/>
      <c r="CH442" s="13"/>
      <c r="CI442" s="13"/>
      <c r="CJ442" s="13"/>
    </row>
    <row r="443" spans="1:88" s="9" customFormat="1" x14ac:dyDescent="0.25">
      <c r="A443" s="10"/>
      <c r="B443" s="10"/>
      <c r="C443" s="10"/>
      <c r="D443" s="10"/>
      <c r="E443" s="11"/>
      <c r="F443" s="10"/>
      <c r="G443" s="10"/>
      <c r="H443" s="10"/>
      <c r="I443" s="10"/>
      <c r="J443" s="10"/>
      <c r="K443" s="12"/>
      <c r="L443" s="10"/>
      <c r="M443" s="10"/>
      <c r="N443" s="13"/>
      <c r="O443" s="10"/>
      <c r="P443" s="10"/>
      <c r="Q443" s="10"/>
      <c r="R443" s="18"/>
      <c r="S443" s="10"/>
      <c r="T443" s="10"/>
      <c r="U443" s="13"/>
      <c r="V443" s="13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3"/>
      <c r="AL443" s="14"/>
      <c r="AM443" s="15"/>
      <c r="AN443" s="15"/>
      <c r="AO443" s="13"/>
      <c r="AP443" s="13"/>
      <c r="AQ443" s="16"/>
      <c r="AR443" s="10"/>
      <c r="AS443" s="10"/>
      <c r="AT443" s="10"/>
      <c r="AU443" s="10"/>
      <c r="AV443" s="11"/>
      <c r="AW443" s="11"/>
      <c r="AX443" s="10"/>
      <c r="AY443" s="11"/>
      <c r="AZ443" s="11"/>
      <c r="BA443" s="11"/>
      <c r="BB443" s="10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  <c r="BM443" s="11"/>
      <c r="BN443" s="11"/>
      <c r="BO443" s="11"/>
      <c r="BP443" s="11"/>
      <c r="BQ443" s="11"/>
      <c r="BR443" s="11"/>
      <c r="BS443" s="11"/>
      <c r="BT443" s="11"/>
      <c r="BU443" s="11"/>
      <c r="BV443" s="11"/>
      <c r="BW443" s="11"/>
      <c r="BX443" s="11"/>
      <c r="BY443" s="11"/>
      <c r="BZ443" s="11"/>
      <c r="CA443" s="11"/>
      <c r="CB443" s="11"/>
      <c r="CC443" s="17"/>
      <c r="CD443" s="17"/>
      <c r="CE443" s="11"/>
      <c r="CF443" s="13"/>
      <c r="CG443" s="13"/>
      <c r="CH443" s="13"/>
      <c r="CI443" s="13"/>
      <c r="CJ443" s="13"/>
    </row>
    <row r="444" spans="1:88" s="9" customFormat="1" x14ac:dyDescent="0.25">
      <c r="A444" s="10"/>
      <c r="B444" s="10"/>
      <c r="C444" s="10"/>
      <c r="D444" s="10"/>
      <c r="E444" s="11"/>
      <c r="F444" s="10"/>
      <c r="G444" s="10"/>
      <c r="H444" s="10"/>
      <c r="I444" s="10"/>
      <c r="J444" s="10"/>
      <c r="K444" s="12"/>
      <c r="L444" s="10"/>
      <c r="M444" s="10"/>
      <c r="N444" s="13"/>
      <c r="O444" s="10"/>
      <c r="P444" s="10"/>
      <c r="Q444" s="10"/>
      <c r="R444" s="18"/>
      <c r="S444" s="10"/>
      <c r="T444" s="10"/>
      <c r="U444" s="13"/>
      <c r="V444" s="13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3"/>
      <c r="AL444" s="14"/>
      <c r="AM444" s="15"/>
      <c r="AN444" s="15"/>
      <c r="AO444" s="13"/>
      <c r="AP444" s="13"/>
      <c r="AQ444" s="16"/>
      <c r="AR444" s="10"/>
      <c r="AS444" s="10"/>
      <c r="AT444" s="10"/>
      <c r="AU444" s="10"/>
      <c r="AV444" s="11"/>
      <c r="AW444" s="11"/>
      <c r="AX444" s="10"/>
      <c r="AY444" s="11"/>
      <c r="AZ444" s="11"/>
      <c r="BA444" s="11"/>
      <c r="BB444" s="10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  <c r="BM444" s="11"/>
      <c r="BN444" s="11"/>
      <c r="BO444" s="11"/>
      <c r="BP444" s="11"/>
      <c r="BQ444" s="11"/>
      <c r="BR444" s="11"/>
      <c r="BS444" s="11"/>
      <c r="BT444" s="11"/>
      <c r="BU444" s="11"/>
      <c r="BV444" s="11"/>
      <c r="BW444" s="11"/>
      <c r="BX444" s="11"/>
      <c r="BY444" s="11"/>
      <c r="BZ444" s="11"/>
      <c r="CA444" s="11"/>
      <c r="CB444" s="11"/>
      <c r="CC444" s="17"/>
      <c r="CD444" s="17"/>
      <c r="CE444" s="11"/>
      <c r="CF444" s="13"/>
      <c r="CG444" s="13"/>
      <c r="CH444" s="13"/>
      <c r="CI444" s="13"/>
      <c r="CJ444" s="13"/>
    </row>
    <row r="445" spans="1:88" s="9" customFormat="1" x14ac:dyDescent="0.25">
      <c r="A445" s="10"/>
      <c r="B445" s="10"/>
      <c r="C445" s="10"/>
      <c r="D445" s="10"/>
      <c r="E445" s="11"/>
      <c r="F445" s="10"/>
      <c r="G445" s="10"/>
      <c r="H445" s="10"/>
      <c r="I445" s="10"/>
      <c r="J445" s="10"/>
      <c r="K445" s="12"/>
      <c r="L445" s="10"/>
      <c r="M445" s="10"/>
      <c r="N445" s="13"/>
      <c r="O445" s="10"/>
      <c r="P445" s="10"/>
      <c r="Q445" s="10"/>
      <c r="R445" s="18"/>
      <c r="S445" s="10"/>
      <c r="T445" s="10"/>
      <c r="U445" s="13"/>
      <c r="V445" s="13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3"/>
      <c r="AL445" s="14"/>
      <c r="AM445" s="15"/>
      <c r="AN445" s="15"/>
      <c r="AO445" s="13"/>
      <c r="AP445" s="13"/>
      <c r="AQ445" s="16"/>
      <c r="AR445" s="10"/>
      <c r="AS445" s="10"/>
      <c r="AT445" s="10"/>
      <c r="AU445" s="10"/>
      <c r="AV445" s="11"/>
      <c r="AW445" s="11"/>
      <c r="AX445" s="10"/>
      <c r="AY445" s="11"/>
      <c r="AZ445" s="11"/>
      <c r="BA445" s="11"/>
      <c r="BB445" s="10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  <c r="BM445" s="11"/>
      <c r="BN445" s="11"/>
      <c r="BO445" s="11"/>
      <c r="BP445" s="11"/>
      <c r="BQ445" s="11"/>
      <c r="BR445" s="11"/>
      <c r="BS445" s="11"/>
      <c r="BT445" s="11"/>
      <c r="BU445" s="11"/>
      <c r="BV445" s="11"/>
      <c r="BW445" s="11"/>
      <c r="BX445" s="11"/>
      <c r="BY445" s="11"/>
      <c r="BZ445" s="11"/>
      <c r="CA445" s="11"/>
      <c r="CB445" s="11"/>
      <c r="CC445" s="17"/>
      <c r="CD445" s="17"/>
      <c r="CE445" s="11"/>
      <c r="CF445" s="13"/>
      <c r="CG445" s="13"/>
      <c r="CH445" s="13"/>
      <c r="CI445" s="13"/>
      <c r="CJ445" s="13"/>
    </row>
    <row r="446" spans="1:88" s="9" customFormat="1" x14ac:dyDescent="0.25">
      <c r="A446" s="10"/>
      <c r="B446" s="10"/>
      <c r="C446" s="10"/>
      <c r="D446" s="10"/>
      <c r="E446" s="11"/>
      <c r="F446" s="10"/>
      <c r="G446" s="10"/>
      <c r="H446" s="10"/>
      <c r="I446" s="10"/>
      <c r="J446" s="10"/>
      <c r="K446" s="12"/>
      <c r="L446" s="10"/>
      <c r="M446" s="10"/>
      <c r="N446" s="13"/>
      <c r="O446" s="10"/>
      <c r="P446" s="10"/>
      <c r="Q446" s="10"/>
      <c r="R446" s="18"/>
      <c r="S446" s="10"/>
      <c r="T446" s="10"/>
      <c r="U446" s="13"/>
      <c r="V446" s="13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3"/>
      <c r="AL446" s="14"/>
      <c r="AM446" s="15"/>
      <c r="AN446" s="15"/>
      <c r="AO446" s="13"/>
      <c r="AP446" s="13"/>
      <c r="AQ446" s="16"/>
      <c r="AR446" s="10"/>
      <c r="AS446" s="10"/>
      <c r="AT446" s="10"/>
      <c r="AU446" s="10"/>
      <c r="AV446" s="11"/>
      <c r="AW446" s="11"/>
      <c r="AX446" s="10"/>
      <c r="AY446" s="11"/>
      <c r="AZ446" s="11"/>
      <c r="BA446" s="11"/>
      <c r="BB446" s="10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  <c r="BM446" s="11"/>
      <c r="BN446" s="11"/>
      <c r="BO446" s="11"/>
      <c r="BP446" s="11"/>
      <c r="BQ446" s="11"/>
      <c r="BR446" s="11"/>
      <c r="BS446" s="11"/>
      <c r="BT446" s="11"/>
      <c r="BU446" s="11"/>
      <c r="BV446" s="11"/>
      <c r="BW446" s="11"/>
      <c r="BX446" s="11"/>
      <c r="BY446" s="11"/>
      <c r="BZ446" s="11"/>
      <c r="CA446" s="11"/>
      <c r="CB446" s="11"/>
      <c r="CC446" s="17"/>
      <c r="CD446" s="17"/>
      <c r="CE446" s="11"/>
      <c r="CF446" s="13"/>
      <c r="CG446" s="13"/>
      <c r="CH446" s="13"/>
      <c r="CI446" s="13"/>
      <c r="CJ446" s="13"/>
    </row>
    <row r="447" spans="1:88" s="9" customFormat="1" x14ac:dyDescent="0.25">
      <c r="A447" s="10"/>
      <c r="B447" s="10"/>
      <c r="C447" s="10"/>
      <c r="D447" s="10"/>
      <c r="E447" s="11"/>
      <c r="F447" s="10"/>
      <c r="G447" s="10"/>
      <c r="H447" s="10"/>
      <c r="I447" s="10"/>
      <c r="J447" s="10"/>
      <c r="K447" s="12"/>
      <c r="L447" s="10"/>
      <c r="M447" s="10"/>
      <c r="N447" s="13"/>
      <c r="O447" s="10"/>
      <c r="P447" s="10"/>
      <c r="Q447" s="10"/>
      <c r="R447" s="18"/>
      <c r="S447" s="10"/>
      <c r="T447" s="10"/>
      <c r="U447" s="13"/>
      <c r="V447" s="13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3"/>
      <c r="AL447" s="14"/>
      <c r="AM447" s="15"/>
      <c r="AN447" s="15"/>
      <c r="AO447" s="13"/>
      <c r="AP447" s="13"/>
      <c r="AQ447" s="16"/>
      <c r="AR447" s="10"/>
      <c r="AS447" s="10"/>
      <c r="AT447" s="10"/>
      <c r="AU447" s="10"/>
      <c r="AV447" s="11"/>
      <c r="AW447" s="11"/>
      <c r="AX447" s="10"/>
      <c r="AY447" s="11"/>
      <c r="AZ447" s="11"/>
      <c r="BA447" s="11"/>
      <c r="BB447" s="10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  <c r="BM447" s="11"/>
      <c r="BN447" s="11"/>
      <c r="BO447" s="11"/>
      <c r="BP447" s="11"/>
      <c r="BQ447" s="11"/>
      <c r="BR447" s="11"/>
      <c r="BS447" s="11"/>
      <c r="BT447" s="11"/>
      <c r="BU447" s="11"/>
      <c r="BV447" s="11"/>
      <c r="BW447" s="11"/>
      <c r="BX447" s="11"/>
      <c r="BY447" s="11"/>
      <c r="BZ447" s="11"/>
      <c r="CA447" s="11"/>
      <c r="CB447" s="11"/>
      <c r="CC447" s="17"/>
      <c r="CD447" s="17"/>
      <c r="CE447" s="11"/>
      <c r="CF447" s="13"/>
      <c r="CG447" s="13"/>
      <c r="CH447" s="13"/>
      <c r="CI447" s="13"/>
      <c r="CJ447" s="13"/>
    </row>
    <row r="448" spans="1:88" s="9" customFormat="1" x14ac:dyDescent="0.25">
      <c r="A448" s="10"/>
      <c r="B448" s="10"/>
      <c r="C448" s="10"/>
      <c r="D448" s="10"/>
      <c r="E448" s="11"/>
      <c r="F448" s="10"/>
      <c r="G448" s="10"/>
      <c r="H448" s="10"/>
      <c r="I448" s="10"/>
      <c r="J448" s="10"/>
      <c r="K448" s="12"/>
      <c r="L448" s="10"/>
      <c r="M448" s="10"/>
      <c r="N448" s="13"/>
      <c r="O448" s="10"/>
      <c r="P448" s="10"/>
      <c r="Q448" s="10"/>
      <c r="R448" s="18"/>
      <c r="S448" s="10"/>
      <c r="T448" s="10"/>
      <c r="U448" s="13"/>
      <c r="V448" s="13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3"/>
      <c r="AL448" s="14"/>
      <c r="AM448" s="15"/>
      <c r="AN448" s="15"/>
      <c r="AO448" s="13"/>
      <c r="AP448" s="13"/>
      <c r="AQ448" s="16"/>
      <c r="AR448" s="10"/>
      <c r="AS448" s="10"/>
      <c r="AT448" s="10"/>
      <c r="AU448" s="10"/>
      <c r="AV448" s="11"/>
      <c r="AW448" s="11"/>
      <c r="AX448" s="10"/>
      <c r="AY448" s="11"/>
      <c r="AZ448" s="11"/>
      <c r="BA448" s="11"/>
      <c r="BB448" s="10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  <c r="BM448" s="11"/>
      <c r="BN448" s="11"/>
      <c r="BO448" s="11"/>
      <c r="BP448" s="11"/>
      <c r="BQ448" s="11"/>
      <c r="BR448" s="11"/>
      <c r="BS448" s="11"/>
      <c r="BT448" s="11"/>
      <c r="BU448" s="11"/>
      <c r="BV448" s="11"/>
      <c r="BW448" s="11"/>
      <c r="BX448" s="11"/>
      <c r="BY448" s="11"/>
      <c r="BZ448" s="11"/>
      <c r="CA448" s="11"/>
      <c r="CB448" s="11"/>
      <c r="CC448" s="17"/>
      <c r="CD448" s="17"/>
      <c r="CE448" s="11"/>
      <c r="CF448" s="13"/>
      <c r="CG448" s="13"/>
      <c r="CH448" s="13"/>
      <c r="CI448" s="13"/>
      <c r="CJ448" s="13"/>
    </row>
    <row r="449" spans="1:88" s="9" customFormat="1" x14ac:dyDescent="0.25">
      <c r="A449" s="10"/>
      <c r="B449" s="10"/>
      <c r="C449" s="10"/>
      <c r="D449" s="10"/>
      <c r="E449" s="11"/>
      <c r="F449" s="10"/>
      <c r="G449" s="10"/>
      <c r="H449" s="10"/>
      <c r="I449" s="10"/>
      <c r="J449" s="10"/>
      <c r="K449" s="12"/>
      <c r="L449" s="10"/>
      <c r="M449" s="10"/>
      <c r="N449" s="13"/>
      <c r="O449" s="10"/>
      <c r="P449" s="10"/>
      <c r="Q449" s="10"/>
      <c r="R449" s="18"/>
      <c r="S449" s="10"/>
      <c r="T449" s="10"/>
      <c r="U449" s="13"/>
      <c r="V449" s="13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3"/>
      <c r="AL449" s="14"/>
      <c r="AM449" s="15"/>
      <c r="AN449" s="15"/>
      <c r="AO449" s="13"/>
      <c r="AP449" s="13"/>
      <c r="AQ449" s="16"/>
      <c r="AR449" s="10"/>
      <c r="AS449" s="10"/>
      <c r="AT449" s="10"/>
      <c r="AU449" s="10"/>
      <c r="AV449" s="11"/>
      <c r="AW449" s="11"/>
      <c r="AX449" s="10"/>
      <c r="AY449" s="11"/>
      <c r="AZ449" s="11"/>
      <c r="BA449" s="11"/>
      <c r="BB449" s="10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  <c r="BM449" s="11"/>
      <c r="BN449" s="11"/>
      <c r="BO449" s="11"/>
      <c r="BP449" s="11"/>
      <c r="BQ449" s="11"/>
      <c r="BR449" s="11"/>
      <c r="BS449" s="11"/>
      <c r="BT449" s="11"/>
      <c r="BU449" s="11"/>
      <c r="BV449" s="11"/>
      <c r="BW449" s="11"/>
      <c r="BX449" s="11"/>
      <c r="BY449" s="11"/>
      <c r="BZ449" s="11"/>
      <c r="CA449" s="11"/>
      <c r="CB449" s="11"/>
      <c r="CC449" s="17"/>
      <c r="CD449" s="17"/>
      <c r="CE449" s="11"/>
      <c r="CF449" s="13"/>
      <c r="CG449" s="13"/>
      <c r="CH449" s="13"/>
      <c r="CI449" s="13"/>
      <c r="CJ449" s="13"/>
    </row>
    <row r="450" spans="1:88" s="9" customFormat="1" x14ac:dyDescent="0.25">
      <c r="A450" s="10"/>
      <c r="B450" s="10"/>
      <c r="C450" s="10"/>
      <c r="D450" s="10"/>
      <c r="E450" s="11"/>
      <c r="F450" s="10"/>
      <c r="G450" s="10"/>
      <c r="H450" s="10"/>
      <c r="I450" s="10"/>
      <c r="J450" s="10"/>
      <c r="K450" s="12"/>
      <c r="L450" s="10"/>
      <c r="M450" s="10"/>
      <c r="N450" s="13"/>
      <c r="O450" s="10"/>
      <c r="P450" s="10"/>
      <c r="Q450" s="10"/>
      <c r="R450" s="18"/>
      <c r="S450" s="10"/>
      <c r="T450" s="10"/>
      <c r="U450" s="13"/>
      <c r="V450" s="13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3"/>
      <c r="AL450" s="14"/>
      <c r="AM450" s="15"/>
      <c r="AN450" s="15"/>
      <c r="AO450" s="13"/>
      <c r="AP450" s="13"/>
      <c r="AQ450" s="16"/>
      <c r="AR450" s="10"/>
      <c r="AS450" s="10"/>
      <c r="AT450" s="10"/>
      <c r="AU450" s="10"/>
      <c r="AV450" s="11"/>
      <c r="AW450" s="11"/>
      <c r="AX450" s="10"/>
      <c r="AY450" s="11"/>
      <c r="AZ450" s="11"/>
      <c r="BA450" s="11"/>
      <c r="BB450" s="10"/>
      <c r="BC450" s="11"/>
      <c r="BD450" s="11"/>
      <c r="BE450" s="11"/>
      <c r="BF450" s="11"/>
      <c r="BG450" s="11"/>
      <c r="BH450" s="11"/>
      <c r="BI450" s="11"/>
      <c r="BJ450" s="11"/>
      <c r="BK450" s="11"/>
      <c r="BL450" s="11"/>
      <c r="BM450" s="11"/>
      <c r="BN450" s="11"/>
      <c r="BO450" s="11"/>
      <c r="BP450" s="11"/>
      <c r="BQ450" s="11"/>
      <c r="BR450" s="11"/>
      <c r="BS450" s="11"/>
      <c r="BT450" s="11"/>
      <c r="BU450" s="11"/>
      <c r="BV450" s="11"/>
      <c r="BW450" s="11"/>
      <c r="BX450" s="11"/>
      <c r="BY450" s="11"/>
      <c r="BZ450" s="11"/>
      <c r="CA450" s="11"/>
      <c r="CB450" s="11"/>
      <c r="CC450" s="17"/>
      <c r="CD450" s="17"/>
      <c r="CE450" s="11"/>
      <c r="CF450" s="13"/>
      <c r="CG450" s="13"/>
      <c r="CH450" s="13"/>
      <c r="CI450" s="13"/>
      <c r="CJ450" s="13"/>
    </row>
    <row r="451" spans="1:88" s="9" customFormat="1" x14ac:dyDescent="0.25">
      <c r="A451" s="10"/>
      <c r="B451" s="10"/>
      <c r="C451" s="10"/>
      <c r="D451" s="10"/>
      <c r="E451" s="11"/>
      <c r="F451" s="10"/>
      <c r="G451" s="10"/>
      <c r="H451" s="10"/>
      <c r="I451" s="10"/>
      <c r="J451" s="10"/>
      <c r="K451" s="12"/>
      <c r="L451" s="10"/>
      <c r="M451" s="10"/>
      <c r="N451" s="13"/>
      <c r="O451" s="10"/>
      <c r="P451" s="10"/>
      <c r="Q451" s="10"/>
      <c r="R451" s="18"/>
      <c r="S451" s="10"/>
      <c r="T451" s="10"/>
      <c r="U451" s="13"/>
      <c r="V451" s="13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3"/>
      <c r="AL451" s="14"/>
      <c r="AM451" s="15"/>
      <c r="AN451" s="15"/>
      <c r="AO451" s="13"/>
      <c r="AP451" s="13"/>
      <c r="AQ451" s="16"/>
      <c r="AR451" s="10"/>
      <c r="AS451" s="10"/>
      <c r="AT451" s="10"/>
      <c r="AU451" s="10"/>
      <c r="AV451" s="11"/>
      <c r="AW451" s="11"/>
      <c r="AX451" s="10"/>
      <c r="AY451" s="11"/>
      <c r="AZ451" s="11"/>
      <c r="BA451" s="11"/>
      <c r="BB451" s="10"/>
      <c r="BC451" s="11"/>
      <c r="BD451" s="11"/>
      <c r="BE451" s="11"/>
      <c r="BF451" s="11"/>
      <c r="BG451" s="11"/>
      <c r="BH451" s="11"/>
      <c r="BI451" s="11"/>
      <c r="BJ451" s="11"/>
      <c r="BK451" s="11"/>
      <c r="BL451" s="11"/>
      <c r="BM451" s="11"/>
      <c r="BN451" s="11"/>
      <c r="BO451" s="11"/>
      <c r="BP451" s="11"/>
      <c r="BQ451" s="11"/>
      <c r="BR451" s="11"/>
      <c r="BS451" s="11"/>
      <c r="BT451" s="11"/>
      <c r="BU451" s="11"/>
      <c r="BV451" s="11"/>
      <c r="BW451" s="11"/>
      <c r="BX451" s="11"/>
      <c r="BY451" s="11"/>
      <c r="BZ451" s="11"/>
      <c r="CA451" s="11"/>
      <c r="CB451" s="11"/>
      <c r="CC451" s="17"/>
      <c r="CD451" s="17"/>
      <c r="CE451" s="11"/>
      <c r="CF451" s="13"/>
      <c r="CG451" s="13"/>
      <c r="CH451" s="13"/>
      <c r="CI451" s="13"/>
      <c r="CJ451" s="13"/>
    </row>
    <row r="452" spans="1:88" s="9" customFormat="1" x14ac:dyDescent="0.25">
      <c r="A452" s="10"/>
      <c r="B452" s="10"/>
      <c r="C452" s="10"/>
      <c r="D452" s="10"/>
      <c r="E452" s="11"/>
      <c r="F452" s="10"/>
      <c r="G452" s="10"/>
      <c r="H452" s="10"/>
      <c r="I452" s="10"/>
      <c r="J452" s="10"/>
      <c r="K452" s="12"/>
      <c r="L452" s="10"/>
      <c r="M452" s="10"/>
      <c r="N452" s="13"/>
      <c r="O452" s="10"/>
      <c r="P452" s="10"/>
      <c r="Q452" s="10"/>
      <c r="R452" s="18"/>
      <c r="S452" s="10"/>
      <c r="T452" s="10"/>
      <c r="U452" s="13"/>
      <c r="V452" s="13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3"/>
      <c r="AL452" s="14"/>
      <c r="AM452" s="15"/>
      <c r="AN452" s="15"/>
      <c r="AO452" s="13"/>
      <c r="AP452" s="13"/>
      <c r="AQ452" s="16"/>
      <c r="AR452" s="10"/>
      <c r="AS452" s="10"/>
      <c r="AT452" s="10"/>
      <c r="AU452" s="10"/>
      <c r="AV452" s="11"/>
      <c r="AW452" s="11"/>
      <c r="AX452" s="10"/>
      <c r="AY452" s="11"/>
      <c r="AZ452" s="11"/>
      <c r="BA452" s="11"/>
      <c r="BB452" s="10"/>
      <c r="BC452" s="11"/>
      <c r="BD452" s="11"/>
      <c r="BE452" s="11"/>
      <c r="BF452" s="11"/>
      <c r="BG452" s="11"/>
      <c r="BH452" s="11"/>
      <c r="BI452" s="11"/>
      <c r="BJ452" s="11"/>
      <c r="BK452" s="11"/>
      <c r="BL452" s="11"/>
      <c r="BM452" s="11"/>
      <c r="BN452" s="11"/>
      <c r="BO452" s="11"/>
      <c r="BP452" s="11"/>
      <c r="BQ452" s="11"/>
      <c r="BR452" s="11"/>
      <c r="BS452" s="11"/>
      <c r="BT452" s="11"/>
      <c r="BU452" s="11"/>
      <c r="BV452" s="11"/>
      <c r="BW452" s="11"/>
      <c r="BX452" s="11"/>
      <c r="BY452" s="11"/>
      <c r="BZ452" s="11"/>
      <c r="CA452" s="11"/>
      <c r="CB452" s="11"/>
      <c r="CC452" s="17"/>
      <c r="CD452" s="17"/>
      <c r="CE452" s="11"/>
      <c r="CF452" s="13"/>
      <c r="CG452" s="13"/>
      <c r="CH452" s="13"/>
      <c r="CI452" s="13"/>
      <c r="CJ452" s="13"/>
    </row>
    <row r="453" spans="1:88" s="9" customFormat="1" x14ac:dyDescent="0.25">
      <c r="A453" s="10"/>
      <c r="B453" s="10"/>
      <c r="C453" s="10"/>
      <c r="D453" s="10"/>
      <c r="E453" s="11"/>
      <c r="F453" s="10"/>
      <c r="G453" s="10"/>
      <c r="H453" s="10"/>
      <c r="I453" s="10"/>
      <c r="J453" s="10"/>
      <c r="K453" s="12"/>
      <c r="L453" s="10"/>
      <c r="M453" s="10"/>
      <c r="N453" s="13"/>
      <c r="O453" s="10"/>
      <c r="P453" s="10"/>
      <c r="Q453" s="10"/>
      <c r="R453" s="18"/>
      <c r="S453" s="10"/>
      <c r="T453" s="10"/>
      <c r="U453" s="13"/>
      <c r="V453" s="13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3"/>
      <c r="AL453" s="14"/>
      <c r="AM453" s="15"/>
      <c r="AN453" s="15"/>
      <c r="AO453" s="13"/>
      <c r="AP453" s="13"/>
      <c r="AQ453" s="16"/>
      <c r="AR453" s="10"/>
      <c r="AS453" s="10"/>
      <c r="AT453" s="10"/>
      <c r="AU453" s="10"/>
      <c r="AV453" s="11"/>
      <c r="AW453" s="11"/>
      <c r="AX453" s="10"/>
      <c r="AY453" s="11"/>
      <c r="AZ453" s="11"/>
      <c r="BA453" s="11"/>
      <c r="BB453" s="10"/>
      <c r="BC453" s="11"/>
      <c r="BD453" s="11"/>
      <c r="BE453" s="11"/>
      <c r="BF453" s="11"/>
      <c r="BG453" s="11"/>
      <c r="BH453" s="11"/>
      <c r="BI453" s="11"/>
      <c r="BJ453" s="11"/>
      <c r="BK453" s="11"/>
      <c r="BL453" s="11"/>
      <c r="BM453" s="11"/>
      <c r="BN453" s="11"/>
      <c r="BO453" s="11"/>
      <c r="BP453" s="11"/>
      <c r="BQ453" s="11"/>
      <c r="BR453" s="11"/>
      <c r="BS453" s="11"/>
      <c r="BT453" s="11"/>
      <c r="BU453" s="11"/>
      <c r="BV453" s="11"/>
      <c r="BW453" s="11"/>
      <c r="BX453" s="11"/>
      <c r="BY453" s="11"/>
      <c r="BZ453" s="11"/>
      <c r="CA453" s="11"/>
      <c r="CB453" s="11"/>
      <c r="CC453" s="17"/>
      <c r="CD453" s="17"/>
      <c r="CE453" s="11"/>
      <c r="CF453" s="13"/>
      <c r="CG453" s="13"/>
      <c r="CH453" s="13"/>
      <c r="CI453" s="13"/>
      <c r="CJ453" s="13"/>
    </row>
    <row r="454" spans="1:88" s="9" customFormat="1" x14ac:dyDescent="0.25">
      <c r="A454" s="10"/>
      <c r="B454" s="10"/>
      <c r="C454" s="10"/>
      <c r="D454" s="10"/>
      <c r="E454" s="11"/>
      <c r="F454" s="10"/>
      <c r="G454" s="10"/>
      <c r="H454" s="10"/>
      <c r="I454" s="10"/>
      <c r="J454" s="10"/>
      <c r="K454" s="12"/>
      <c r="L454" s="10"/>
      <c r="M454" s="10"/>
      <c r="N454" s="13"/>
      <c r="O454" s="10"/>
      <c r="P454" s="10"/>
      <c r="Q454" s="10"/>
      <c r="R454" s="18"/>
      <c r="S454" s="10"/>
      <c r="T454" s="10"/>
      <c r="U454" s="13"/>
      <c r="V454" s="13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3"/>
      <c r="AL454" s="14"/>
      <c r="AM454" s="15"/>
      <c r="AN454" s="15"/>
      <c r="AO454" s="13"/>
      <c r="AP454" s="13"/>
      <c r="AQ454" s="16"/>
      <c r="AR454" s="10"/>
      <c r="AS454" s="10"/>
      <c r="AT454" s="10"/>
      <c r="AU454" s="10"/>
      <c r="AV454" s="11"/>
      <c r="AW454" s="11"/>
      <c r="AX454" s="10"/>
      <c r="AY454" s="11"/>
      <c r="AZ454" s="11"/>
      <c r="BA454" s="11"/>
      <c r="BB454" s="10"/>
      <c r="BC454" s="11"/>
      <c r="BD454" s="11"/>
      <c r="BE454" s="11"/>
      <c r="BF454" s="11"/>
      <c r="BG454" s="11"/>
      <c r="BH454" s="11"/>
      <c r="BI454" s="11"/>
      <c r="BJ454" s="11"/>
      <c r="BK454" s="11"/>
      <c r="BL454" s="11"/>
      <c r="BM454" s="11"/>
      <c r="BN454" s="11"/>
      <c r="BO454" s="11"/>
      <c r="BP454" s="11"/>
      <c r="BQ454" s="11"/>
      <c r="BR454" s="11"/>
      <c r="BS454" s="11"/>
      <c r="BT454" s="11"/>
      <c r="BU454" s="11"/>
      <c r="BV454" s="11"/>
      <c r="BW454" s="11"/>
      <c r="BX454" s="11"/>
      <c r="BY454" s="11"/>
      <c r="BZ454" s="11"/>
      <c r="CA454" s="11"/>
      <c r="CB454" s="11"/>
      <c r="CC454" s="17"/>
      <c r="CD454" s="17"/>
      <c r="CE454" s="11"/>
      <c r="CF454" s="13"/>
      <c r="CG454" s="13"/>
      <c r="CH454" s="13"/>
      <c r="CI454" s="13"/>
      <c r="CJ454" s="13"/>
    </row>
    <row r="455" spans="1:88" s="9" customFormat="1" x14ac:dyDescent="0.25">
      <c r="A455" s="10"/>
      <c r="B455" s="10"/>
      <c r="C455" s="10"/>
      <c r="D455" s="10"/>
      <c r="E455" s="11"/>
      <c r="F455" s="10"/>
      <c r="G455" s="10"/>
      <c r="H455" s="10"/>
      <c r="I455" s="10"/>
      <c r="J455" s="10"/>
      <c r="K455" s="12"/>
      <c r="L455" s="10"/>
      <c r="M455" s="10"/>
      <c r="N455" s="13"/>
      <c r="O455" s="10"/>
      <c r="P455" s="10"/>
      <c r="Q455" s="10"/>
      <c r="R455" s="18"/>
      <c r="S455" s="10"/>
      <c r="T455" s="10"/>
      <c r="U455" s="13"/>
      <c r="V455" s="13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3"/>
      <c r="AL455" s="14"/>
      <c r="AM455" s="15"/>
      <c r="AN455" s="15"/>
      <c r="AO455" s="13"/>
      <c r="AP455" s="13"/>
      <c r="AQ455" s="16"/>
      <c r="AR455" s="10"/>
      <c r="AS455" s="10"/>
      <c r="AT455" s="10"/>
      <c r="AU455" s="10"/>
      <c r="AV455" s="11"/>
      <c r="AW455" s="11"/>
      <c r="AX455" s="10"/>
      <c r="AY455" s="11"/>
      <c r="AZ455" s="11"/>
      <c r="BA455" s="11"/>
      <c r="BB455" s="10"/>
      <c r="BC455" s="11"/>
      <c r="BD455" s="11"/>
      <c r="BE455" s="11"/>
      <c r="BF455" s="11"/>
      <c r="BG455" s="11"/>
      <c r="BH455" s="11"/>
      <c r="BI455" s="11"/>
      <c r="BJ455" s="11"/>
      <c r="BK455" s="11"/>
      <c r="BL455" s="11"/>
      <c r="BM455" s="11"/>
      <c r="BN455" s="11"/>
      <c r="BO455" s="11"/>
      <c r="BP455" s="11"/>
      <c r="BQ455" s="11"/>
      <c r="BR455" s="11"/>
      <c r="BS455" s="11"/>
      <c r="BT455" s="11"/>
      <c r="BU455" s="11"/>
      <c r="BV455" s="11"/>
      <c r="BW455" s="11"/>
      <c r="BX455" s="11"/>
      <c r="BY455" s="11"/>
      <c r="BZ455" s="11"/>
      <c r="CA455" s="11"/>
      <c r="CB455" s="11"/>
      <c r="CC455" s="17"/>
      <c r="CD455" s="17"/>
      <c r="CE455" s="11"/>
      <c r="CF455" s="13"/>
      <c r="CG455" s="13"/>
      <c r="CH455" s="13"/>
      <c r="CI455" s="13"/>
      <c r="CJ455" s="13"/>
    </row>
    <row r="456" spans="1:88" s="9" customFormat="1" x14ac:dyDescent="0.25">
      <c r="A456" s="10"/>
      <c r="B456" s="10"/>
      <c r="C456" s="10"/>
      <c r="D456" s="10"/>
      <c r="E456" s="11"/>
      <c r="F456" s="10"/>
      <c r="G456" s="10"/>
      <c r="H456" s="10"/>
      <c r="I456" s="10"/>
      <c r="J456" s="10"/>
      <c r="K456" s="12"/>
      <c r="L456" s="10"/>
      <c r="M456" s="10"/>
      <c r="N456" s="13"/>
      <c r="O456" s="10"/>
      <c r="P456" s="10"/>
      <c r="Q456" s="10"/>
      <c r="R456" s="18"/>
      <c r="S456" s="10"/>
      <c r="T456" s="10"/>
      <c r="U456" s="13"/>
      <c r="V456" s="13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3"/>
      <c r="AL456" s="14"/>
      <c r="AM456" s="15"/>
      <c r="AN456" s="15"/>
      <c r="AO456" s="13"/>
      <c r="AP456" s="13"/>
      <c r="AQ456" s="16"/>
      <c r="AR456" s="10"/>
      <c r="AS456" s="10"/>
      <c r="AT456" s="10"/>
      <c r="AU456" s="10"/>
      <c r="AV456" s="11"/>
      <c r="AW456" s="11"/>
      <c r="AX456" s="10"/>
      <c r="AY456" s="11"/>
      <c r="AZ456" s="11"/>
      <c r="BA456" s="11"/>
      <c r="BB456" s="10"/>
      <c r="BC456" s="11"/>
      <c r="BD456" s="11"/>
      <c r="BE456" s="11"/>
      <c r="BF456" s="11"/>
      <c r="BG456" s="11"/>
      <c r="BH456" s="11"/>
      <c r="BI456" s="11"/>
      <c r="BJ456" s="11"/>
      <c r="BK456" s="11"/>
      <c r="BL456" s="11"/>
      <c r="BM456" s="11"/>
      <c r="BN456" s="11"/>
      <c r="BO456" s="11"/>
      <c r="BP456" s="11"/>
      <c r="BQ456" s="11"/>
      <c r="BR456" s="11"/>
      <c r="BS456" s="11"/>
      <c r="BT456" s="11"/>
      <c r="BU456" s="11"/>
      <c r="BV456" s="11"/>
      <c r="BW456" s="11"/>
      <c r="BX456" s="11"/>
      <c r="BY456" s="11"/>
      <c r="BZ456" s="11"/>
      <c r="CA456" s="11"/>
      <c r="CB456" s="11"/>
      <c r="CC456" s="17"/>
      <c r="CD456" s="17"/>
      <c r="CE456" s="11"/>
      <c r="CF456" s="13"/>
      <c r="CG456" s="13"/>
      <c r="CH456" s="13"/>
      <c r="CI456" s="13"/>
      <c r="CJ456" s="13"/>
    </row>
    <row r="457" spans="1:88" s="9" customFormat="1" x14ac:dyDescent="0.25">
      <c r="A457" s="10"/>
      <c r="B457" s="10"/>
      <c r="C457" s="10"/>
      <c r="D457" s="10"/>
      <c r="E457" s="11"/>
      <c r="F457" s="10"/>
      <c r="G457" s="10"/>
      <c r="H457" s="10"/>
      <c r="I457" s="10"/>
      <c r="J457" s="10"/>
      <c r="K457" s="12"/>
      <c r="L457" s="10"/>
      <c r="M457" s="10"/>
      <c r="N457" s="13"/>
      <c r="O457" s="10"/>
      <c r="P457" s="10"/>
      <c r="Q457" s="10"/>
      <c r="R457" s="18"/>
      <c r="S457" s="10"/>
      <c r="T457" s="10"/>
      <c r="U457" s="13"/>
      <c r="V457" s="13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3"/>
      <c r="AL457" s="14"/>
      <c r="AM457" s="15"/>
      <c r="AN457" s="15"/>
      <c r="AO457" s="13"/>
      <c r="AP457" s="13"/>
      <c r="AQ457" s="16"/>
      <c r="AR457" s="10"/>
      <c r="AS457" s="10"/>
      <c r="AT457" s="10"/>
      <c r="AU457" s="10"/>
      <c r="AV457" s="11"/>
      <c r="AW457" s="11"/>
      <c r="AX457" s="10"/>
      <c r="AY457" s="11"/>
      <c r="AZ457" s="11"/>
      <c r="BA457" s="11"/>
      <c r="BB457" s="10"/>
      <c r="BC457" s="11"/>
      <c r="BD457" s="11"/>
      <c r="BE457" s="11"/>
      <c r="BF457" s="11"/>
      <c r="BG457" s="11"/>
      <c r="BH457" s="11"/>
      <c r="BI457" s="11"/>
      <c r="BJ457" s="11"/>
      <c r="BK457" s="11"/>
      <c r="BL457" s="11"/>
      <c r="BM457" s="11"/>
      <c r="BN457" s="11"/>
      <c r="BO457" s="11"/>
      <c r="BP457" s="11"/>
      <c r="BQ457" s="11"/>
      <c r="BR457" s="11"/>
      <c r="BS457" s="11"/>
      <c r="BT457" s="11"/>
      <c r="BU457" s="11"/>
      <c r="BV457" s="11"/>
      <c r="BW457" s="11"/>
      <c r="BX457" s="11"/>
      <c r="BY457" s="11"/>
      <c r="BZ457" s="11"/>
      <c r="CA457" s="11"/>
      <c r="CB457" s="11"/>
      <c r="CC457" s="17"/>
      <c r="CD457" s="17"/>
      <c r="CE457" s="11"/>
      <c r="CF457" s="13"/>
      <c r="CG457" s="13"/>
      <c r="CH457" s="13"/>
      <c r="CI457" s="13"/>
      <c r="CJ457" s="13"/>
    </row>
    <row r="458" spans="1:88" s="9" customFormat="1" x14ac:dyDescent="0.25">
      <c r="A458" s="10"/>
      <c r="B458" s="10"/>
      <c r="C458" s="10"/>
      <c r="D458" s="10"/>
      <c r="E458" s="11"/>
      <c r="F458" s="10"/>
      <c r="G458" s="10"/>
      <c r="H458" s="10"/>
      <c r="I458" s="10"/>
      <c r="J458" s="10"/>
      <c r="K458" s="12"/>
      <c r="L458" s="10"/>
      <c r="M458" s="10"/>
      <c r="N458" s="13"/>
      <c r="O458" s="10"/>
      <c r="P458" s="10"/>
      <c r="Q458" s="10"/>
      <c r="R458" s="18"/>
      <c r="S458" s="10"/>
      <c r="T458" s="10"/>
      <c r="U458" s="13"/>
      <c r="V458" s="13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3"/>
      <c r="AL458" s="14"/>
      <c r="AM458" s="15"/>
      <c r="AN458" s="15"/>
      <c r="AO458" s="13"/>
      <c r="AP458" s="13"/>
      <c r="AQ458" s="16"/>
      <c r="AR458" s="10"/>
      <c r="AS458" s="10"/>
      <c r="AT458" s="10"/>
      <c r="AU458" s="10"/>
      <c r="AV458" s="11"/>
      <c r="AW458" s="11"/>
      <c r="AX458" s="10"/>
      <c r="AY458" s="11"/>
      <c r="AZ458" s="11"/>
      <c r="BA458" s="11"/>
      <c r="BB458" s="10"/>
      <c r="BC458" s="11"/>
      <c r="BD458" s="11"/>
      <c r="BE458" s="11"/>
      <c r="BF458" s="11"/>
      <c r="BG458" s="11"/>
      <c r="BH458" s="11"/>
      <c r="BI458" s="11"/>
      <c r="BJ458" s="11"/>
      <c r="BK458" s="11"/>
      <c r="BL458" s="11"/>
      <c r="BM458" s="11"/>
      <c r="BN458" s="11"/>
      <c r="BO458" s="11"/>
      <c r="BP458" s="11"/>
      <c r="BQ458" s="11"/>
      <c r="BR458" s="11"/>
      <c r="BS458" s="11"/>
      <c r="BT458" s="11"/>
      <c r="BU458" s="11"/>
      <c r="BV458" s="11"/>
      <c r="BW458" s="11"/>
      <c r="BX458" s="11"/>
      <c r="BY458" s="11"/>
      <c r="BZ458" s="11"/>
      <c r="CA458" s="11"/>
      <c r="CB458" s="11"/>
      <c r="CC458" s="17"/>
      <c r="CD458" s="17"/>
      <c r="CE458" s="11"/>
      <c r="CF458" s="13"/>
      <c r="CG458" s="13"/>
      <c r="CH458" s="13"/>
      <c r="CI458" s="13"/>
      <c r="CJ458" s="13"/>
    </row>
    <row r="459" spans="1:88" s="9" customFormat="1" x14ac:dyDescent="0.25">
      <c r="A459" s="10"/>
      <c r="B459" s="10"/>
      <c r="C459" s="10"/>
      <c r="D459" s="10"/>
      <c r="E459" s="11"/>
      <c r="F459" s="10"/>
      <c r="G459" s="10"/>
      <c r="H459" s="10"/>
      <c r="I459" s="10"/>
      <c r="J459" s="10"/>
      <c r="K459" s="12"/>
      <c r="L459" s="10"/>
      <c r="M459" s="10"/>
      <c r="N459" s="13"/>
      <c r="O459" s="10"/>
      <c r="P459" s="10"/>
      <c r="Q459" s="10"/>
      <c r="R459" s="18"/>
      <c r="S459" s="10"/>
      <c r="T459" s="10"/>
      <c r="U459" s="13"/>
      <c r="V459" s="13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3"/>
      <c r="AL459" s="14"/>
      <c r="AM459" s="15"/>
      <c r="AN459" s="15"/>
      <c r="AO459" s="13"/>
      <c r="AP459" s="13"/>
      <c r="AQ459" s="16"/>
      <c r="AR459" s="10"/>
      <c r="AS459" s="10"/>
      <c r="AT459" s="10"/>
      <c r="AU459" s="10"/>
      <c r="AV459" s="11"/>
      <c r="AW459" s="11"/>
      <c r="AX459" s="10"/>
      <c r="AY459" s="11"/>
      <c r="AZ459" s="11"/>
      <c r="BA459" s="11"/>
      <c r="BB459" s="10"/>
      <c r="BC459" s="11"/>
      <c r="BD459" s="11"/>
      <c r="BE459" s="11"/>
      <c r="BF459" s="11"/>
      <c r="BG459" s="11"/>
      <c r="BH459" s="11"/>
      <c r="BI459" s="11"/>
      <c r="BJ459" s="11"/>
      <c r="BK459" s="11"/>
      <c r="BL459" s="11"/>
      <c r="BM459" s="11"/>
      <c r="BN459" s="11"/>
      <c r="BO459" s="11"/>
      <c r="BP459" s="11"/>
      <c r="BQ459" s="11"/>
      <c r="BR459" s="11"/>
      <c r="BS459" s="11"/>
      <c r="BT459" s="11"/>
      <c r="BU459" s="11"/>
      <c r="BV459" s="11"/>
      <c r="BW459" s="11"/>
      <c r="BX459" s="11"/>
      <c r="BY459" s="11"/>
      <c r="BZ459" s="11"/>
      <c r="CA459" s="11"/>
      <c r="CB459" s="11"/>
      <c r="CC459" s="17"/>
      <c r="CD459" s="17"/>
      <c r="CE459" s="11"/>
      <c r="CF459" s="13"/>
      <c r="CG459" s="13"/>
      <c r="CH459" s="13"/>
      <c r="CI459" s="13"/>
      <c r="CJ459" s="13"/>
    </row>
    <row r="460" spans="1:88" s="9" customFormat="1" x14ac:dyDescent="0.25">
      <c r="A460" s="10"/>
      <c r="B460" s="10"/>
      <c r="C460" s="10"/>
      <c r="D460" s="10"/>
      <c r="E460" s="11"/>
      <c r="F460" s="10"/>
      <c r="G460" s="10"/>
      <c r="H460" s="10"/>
      <c r="I460" s="10"/>
      <c r="J460" s="10"/>
      <c r="K460" s="12"/>
      <c r="L460" s="10"/>
      <c r="M460" s="10"/>
      <c r="N460" s="13"/>
      <c r="O460" s="10"/>
      <c r="P460" s="10"/>
      <c r="Q460" s="10"/>
      <c r="R460" s="18"/>
      <c r="S460" s="10"/>
      <c r="T460" s="10"/>
      <c r="U460" s="13"/>
      <c r="V460" s="13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3"/>
      <c r="AL460" s="14"/>
      <c r="AM460" s="15"/>
      <c r="AN460" s="15"/>
      <c r="AO460" s="13"/>
      <c r="AP460" s="13"/>
      <c r="AQ460" s="16"/>
      <c r="AR460" s="10"/>
      <c r="AS460" s="10"/>
      <c r="AT460" s="10"/>
      <c r="AU460" s="10"/>
      <c r="AV460" s="11"/>
      <c r="AW460" s="11"/>
      <c r="AX460" s="10"/>
      <c r="AY460" s="11"/>
      <c r="AZ460" s="11"/>
      <c r="BA460" s="11"/>
      <c r="BB460" s="10"/>
      <c r="BC460" s="11"/>
      <c r="BD460" s="11"/>
      <c r="BE460" s="11"/>
      <c r="BF460" s="11"/>
      <c r="BG460" s="11"/>
      <c r="BH460" s="11"/>
      <c r="BI460" s="11"/>
      <c r="BJ460" s="11"/>
      <c r="BK460" s="11"/>
      <c r="BL460" s="11"/>
      <c r="BM460" s="11"/>
      <c r="BN460" s="11"/>
      <c r="BO460" s="11"/>
      <c r="BP460" s="11"/>
      <c r="BQ460" s="11"/>
      <c r="BR460" s="11"/>
      <c r="BS460" s="11"/>
      <c r="BT460" s="11"/>
      <c r="BU460" s="11"/>
      <c r="BV460" s="11"/>
      <c r="BW460" s="11"/>
      <c r="BX460" s="11"/>
      <c r="BY460" s="11"/>
      <c r="BZ460" s="11"/>
      <c r="CA460" s="11"/>
      <c r="CB460" s="11"/>
      <c r="CC460" s="17"/>
      <c r="CD460" s="17"/>
      <c r="CE460" s="11"/>
      <c r="CF460" s="13"/>
      <c r="CG460" s="13"/>
      <c r="CH460" s="13"/>
      <c r="CI460" s="13"/>
      <c r="CJ460" s="13"/>
    </row>
    <row r="461" spans="1:88" s="9" customFormat="1" x14ac:dyDescent="0.25">
      <c r="A461" s="10"/>
      <c r="B461" s="10"/>
      <c r="C461" s="10"/>
      <c r="D461" s="10"/>
      <c r="E461" s="11"/>
      <c r="F461" s="10"/>
      <c r="G461" s="10"/>
      <c r="H461" s="10"/>
      <c r="I461" s="10"/>
      <c r="J461" s="10"/>
      <c r="K461" s="12"/>
      <c r="L461" s="10"/>
      <c r="M461" s="10"/>
      <c r="N461" s="13"/>
      <c r="O461" s="10"/>
      <c r="P461" s="10"/>
      <c r="Q461" s="10"/>
      <c r="R461" s="18"/>
      <c r="S461" s="10"/>
      <c r="T461" s="10"/>
      <c r="U461" s="13"/>
      <c r="V461" s="13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3"/>
      <c r="AL461" s="14"/>
      <c r="AM461" s="15"/>
      <c r="AN461" s="15"/>
      <c r="AO461" s="13"/>
      <c r="AP461" s="13"/>
      <c r="AQ461" s="16"/>
      <c r="AR461" s="10"/>
      <c r="AS461" s="10"/>
      <c r="AT461" s="10"/>
      <c r="AU461" s="10"/>
      <c r="AV461" s="11"/>
      <c r="AW461" s="11"/>
      <c r="AX461" s="10"/>
      <c r="AY461" s="11"/>
      <c r="AZ461" s="11"/>
      <c r="BA461" s="11"/>
      <c r="BB461" s="10"/>
      <c r="BC461" s="11"/>
      <c r="BD461" s="11"/>
      <c r="BE461" s="11"/>
      <c r="BF461" s="11"/>
      <c r="BG461" s="11"/>
      <c r="BH461" s="11"/>
      <c r="BI461" s="11"/>
      <c r="BJ461" s="11"/>
      <c r="BK461" s="11"/>
      <c r="BL461" s="11"/>
      <c r="BM461" s="11"/>
      <c r="BN461" s="11"/>
      <c r="BO461" s="11"/>
      <c r="BP461" s="11"/>
      <c r="BQ461" s="11"/>
      <c r="BR461" s="11"/>
      <c r="BS461" s="11"/>
      <c r="BT461" s="11"/>
      <c r="BU461" s="11"/>
      <c r="BV461" s="11"/>
      <c r="BW461" s="11"/>
      <c r="BX461" s="11"/>
      <c r="BY461" s="11"/>
      <c r="BZ461" s="11"/>
      <c r="CA461" s="11"/>
      <c r="CB461" s="11"/>
      <c r="CC461" s="17"/>
      <c r="CD461" s="17"/>
      <c r="CE461" s="11"/>
      <c r="CF461" s="13"/>
      <c r="CG461" s="13"/>
      <c r="CH461" s="13"/>
      <c r="CI461" s="13"/>
      <c r="CJ461" s="13"/>
    </row>
    <row r="462" spans="1:88" s="9" customFormat="1" x14ac:dyDescent="0.25">
      <c r="A462" s="10"/>
      <c r="B462" s="10"/>
      <c r="C462" s="10"/>
      <c r="D462" s="10"/>
      <c r="E462" s="11"/>
      <c r="F462" s="10"/>
      <c r="G462" s="10"/>
      <c r="H462" s="10"/>
      <c r="I462" s="10"/>
      <c r="J462" s="10"/>
      <c r="K462" s="12"/>
      <c r="L462" s="10"/>
      <c r="M462" s="10"/>
      <c r="N462" s="13"/>
      <c r="O462" s="10"/>
      <c r="P462" s="10"/>
      <c r="Q462" s="10"/>
      <c r="R462" s="18"/>
      <c r="S462" s="10"/>
      <c r="T462" s="10"/>
      <c r="U462" s="13"/>
      <c r="V462" s="13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3"/>
      <c r="AL462" s="14"/>
      <c r="AM462" s="15"/>
      <c r="AN462" s="15"/>
      <c r="AO462" s="13"/>
      <c r="AP462" s="13"/>
      <c r="AQ462" s="16"/>
      <c r="AR462" s="10"/>
      <c r="AS462" s="10"/>
      <c r="AT462" s="10"/>
      <c r="AU462" s="10"/>
      <c r="AV462" s="11"/>
      <c r="AW462" s="11"/>
      <c r="AX462" s="10"/>
      <c r="AY462" s="11"/>
      <c r="AZ462" s="11"/>
      <c r="BA462" s="11"/>
      <c r="BB462" s="10"/>
      <c r="BC462" s="11"/>
      <c r="BD462" s="11"/>
      <c r="BE462" s="11"/>
      <c r="BF462" s="11"/>
      <c r="BG462" s="11"/>
      <c r="BH462" s="11"/>
      <c r="BI462" s="11"/>
      <c r="BJ462" s="11"/>
      <c r="BK462" s="11"/>
      <c r="BL462" s="11"/>
      <c r="BM462" s="11"/>
      <c r="BN462" s="11"/>
      <c r="BO462" s="11"/>
      <c r="BP462" s="11"/>
      <c r="BQ462" s="11"/>
      <c r="BR462" s="11"/>
      <c r="BS462" s="11"/>
      <c r="BT462" s="11"/>
      <c r="BU462" s="11"/>
      <c r="BV462" s="11"/>
      <c r="BW462" s="11"/>
      <c r="BX462" s="11"/>
      <c r="BY462" s="11"/>
      <c r="BZ462" s="11"/>
      <c r="CA462" s="11"/>
      <c r="CB462" s="11"/>
      <c r="CC462" s="17"/>
      <c r="CD462" s="17"/>
      <c r="CE462" s="11"/>
      <c r="CF462" s="13"/>
      <c r="CG462" s="13"/>
      <c r="CH462" s="13"/>
      <c r="CI462" s="13"/>
      <c r="CJ462" s="13"/>
    </row>
    <row r="463" spans="1:88" s="9" customFormat="1" x14ac:dyDescent="0.25">
      <c r="A463" s="10"/>
      <c r="B463" s="10"/>
      <c r="C463" s="10"/>
      <c r="D463" s="10"/>
      <c r="E463" s="11"/>
      <c r="F463" s="10"/>
      <c r="G463" s="10"/>
      <c r="H463" s="10"/>
      <c r="I463" s="10"/>
      <c r="J463" s="10"/>
      <c r="K463" s="12"/>
      <c r="L463" s="10"/>
      <c r="M463" s="10"/>
      <c r="N463" s="13"/>
      <c r="O463" s="10"/>
      <c r="P463" s="10"/>
      <c r="Q463" s="10"/>
      <c r="R463" s="18"/>
      <c r="S463" s="10"/>
      <c r="T463" s="10"/>
      <c r="U463" s="13"/>
      <c r="V463" s="13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3"/>
      <c r="AL463" s="14"/>
      <c r="AM463" s="15"/>
      <c r="AN463" s="15"/>
      <c r="AO463" s="13"/>
      <c r="AP463" s="13"/>
      <c r="AQ463" s="16"/>
      <c r="AR463" s="10"/>
      <c r="AS463" s="10"/>
      <c r="AT463" s="10"/>
      <c r="AU463" s="10"/>
      <c r="AV463" s="11"/>
      <c r="AW463" s="11"/>
      <c r="AX463" s="10"/>
      <c r="AY463" s="11"/>
      <c r="AZ463" s="11"/>
      <c r="BA463" s="11"/>
      <c r="BB463" s="10"/>
      <c r="BC463" s="11"/>
      <c r="BD463" s="11"/>
      <c r="BE463" s="11"/>
      <c r="BF463" s="11"/>
      <c r="BG463" s="11"/>
      <c r="BH463" s="11"/>
      <c r="BI463" s="11"/>
      <c r="BJ463" s="11"/>
      <c r="BK463" s="11"/>
      <c r="BL463" s="11"/>
      <c r="BM463" s="11"/>
      <c r="BN463" s="11"/>
      <c r="BO463" s="11"/>
      <c r="BP463" s="11"/>
      <c r="BQ463" s="11"/>
      <c r="BR463" s="11"/>
      <c r="BS463" s="11"/>
      <c r="BT463" s="11"/>
      <c r="BU463" s="11"/>
      <c r="BV463" s="11"/>
      <c r="BW463" s="11"/>
      <c r="BX463" s="11"/>
      <c r="BY463" s="11"/>
      <c r="BZ463" s="11"/>
      <c r="CA463" s="11"/>
      <c r="CB463" s="11"/>
      <c r="CC463" s="17"/>
      <c r="CD463" s="17"/>
      <c r="CE463" s="11"/>
      <c r="CF463" s="13"/>
      <c r="CG463" s="13"/>
      <c r="CH463" s="13"/>
      <c r="CI463" s="13"/>
      <c r="CJ463" s="13"/>
    </row>
    <row r="464" spans="1:88" s="9" customFormat="1" x14ac:dyDescent="0.25">
      <c r="A464" s="10"/>
      <c r="B464" s="10"/>
      <c r="C464" s="10"/>
      <c r="D464" s="10"/>
      <c r="E464" s="11"/>
      <c r="F464" s="10"/>
      <c r="G464" s="10"/>
      <c r="H464" s="10"/>
      <c r="I464" s="10"/>
      <c r="J464" s="10"/>
      <c r="K464" s="12"/>
      <c r="L464" s="10"/>
      <c r="M464" s="10"/>
      <c r="N464" s="13"/>
      <c r="O464" s="10"/>
      <c r="P464" s="10"/>
      <c r="Q464" s="10"/>
      <c r="R464" s="18"/>
      <c r="S464" s="10"/>
      <c r="T464" s="10"/>
      <c r="U464" s="13"/>
      <c r="V464" s="13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3"/>
      <c r="AL464" s="14"/>
      <c r="AM464" s="15"/>
      <c r="AN464" s="15"/>
      <c r="AO464" s="13"/>
      <c r="AP464" s="13"/>
      <c r="AQ464" s="16"/>
      <c r="AR464" s="10"/>
      <c r="AS464" s="10"/>
      <c r="AT464" s="10"/>
      <c r="AU464" s="10"/>
      <c r="AV464" s="11"/>
      <c r="AW464" s="11"/>
      <c r="AX464" s="10"/>
      <c r="AY464" s="11"/>
      <c r="AZ464" s="11"/>
      <c r="BA464" s="11"/>
      <c r="BB464" s="10"/>
      <c r="BC464" s="11"/>
      <c r="BD464" s="11"/>
      <c r="BE464" s="11"/>
      <c r="BF464" s="11"/>
      <c r="BG464" s="11"/>
      <c r="BH464" s="11"/>
      <c r="BI464" s="11"/>
      <c r="BJ464" s="11"/>
      <c r="BK464" s="11"/>
      <c r="BL464" s="11"/>
      <c r="BM464" s="11"/>
      <c r="BN464" s="11"/>
      <c r="BO464" s="11"/>
      <c r="BP464" s="11"/>
      <c r="BQ464" s="11"/>
      <c r="BR464" s="11"/>
      <c r="BS464" s="11"/>
      <c r="BT464" s="11"/>
      <c r="BU464" s="11"/>
      <c r="BV464" s="11"/>
      <c r="BW464" s="11"/>
      <c r="BX464" s="11"/>
      <c r="BY464" s="11"/>
      <c r="BZ464" s="11"/>
      <c r="CA464" s="11"/>
      <c r="CB464" s="11"/>
      <c r="CC464" s="17"/>
      <c r="CD464" s="17"/>
      <c r="CE464" s="11"/>
      <c r="CF464" s="13"/>
      <c r="CG464" s="13"/>
      <c r="CH464" s="13"/>
      <c r="CI464" s="13"/>
      <c r="CJ464" s="13"/>
    </row>
    <row r="465" spans="1:88" s="9" customFormat="1" x14ac:dyDescent="0.25">
      <c r="A465" s="10"/>
      <c r="B465" s="10"/>
      <c r="C465" s="10"/>
      <c r="D465" s="10"/>
      <c r="E465" s="11"/>
      <c r="F465" s="10"/>
      <c r="G465" s="10"/>
      <c r="H465" s="10"/>
      <c r="I465" s="10"/>
      <c r="J465" s="10"/>
      <c r="K465" s="12"/>
      <c r="L465" s="10"/>
      <c r="M465" s="10"/>
      <c r="N465" s="13"/>
      <c r="O465" s="10"/>
      <c r="P465" s="10"/>
      <c r="Q465" s="10"/>
      <c r="R465" s="18"/>
      <c r="S465" s="10"/>
      <c r="T465" s="10"/>
      <c r="U465" s="13"/>
      <c r="V465" s="13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3"/>
      <c r="AL465" s="14"/>
      <c r="AM465" s="15"/>
      <c r="AN465" s="15"/>
      <c r="AO465" s="13"/>
      <c r="AP465" s="13"/>
      <c r="AQ465" s="16"/>
      <c r="AR465" s="10"/>
      <c r="AS465" s="10"/>
      <c r="AT465" s="10"/>
      <c r="AU465" s="10"/>
      <c r="AV465" s="11"/>
      <c r="AW465" s="11"/>
      <c r="AX465" s="10"/>
      <c r="AY465" s="11"/>
      <c r="AZ465" s="11"/>
      <c r="BA465" s="11"/>
      <c r="BB465" s="10"/>
      <c r="BC465" s="11"/>
      <c r="BD465" s="11"/>
      <c r="BE465" s="11"/>
      <c r="BF465" s="11"/>
      <c r="BG465" s="11"/>
      <c r="BH465" s="11"/>
      <c r="BI465" s="11"/>
      <c r="BJ465" s="11"/>
      <c r="BK465" s="11"/>
      <c r="BL465" s="11"/>
      <c r="BM465" s="11"/>
      <c r="BN465" s="11"/>
      <c r="BO465" s="11"/>
      <c r="BP465" s="11"/>
      <c r="BQ465" s="11"/>
      <c r="BR465" s="11"/>
      <c r="BS465" s="11"/>
      <c r="BT465" s="11"/>
      <c r="BU465" s="11"/>
      <c r="BV465" s="11"/>
      <c r="BW465" s="11"/>
      <c r="BX465" s="11"/>
      <c r="BY465" s="11"/>
      <c r="BZ465" s="11"/>
      <c r="CA465" s="11"/>
      <c r="CB465" s="11"/>
      <c r="CC465" s="17"/>
      <c r="CD465" s="17"/>
      <c r="CE465" s="11"/>
      <c r="CF465" s="13"/>
      <c r="CG465" s="13"/>
      <c r="CH465" s="13"/>
      <c r="CI465" s="13"/>
      <c r="CJ465" s="13"/>
    </row>
    <row r="466" spans="1:88" s="9" customFormat="1" x14ac:dyDescent="0.25">
      <c r="A466" s="10"/>
      <c r="B466" s="10"/>
      <c r="C466" s="10"/>
      <c r="D466" s="10"/>
      <c r="E466" s="11"/>
      <c r="F466" s="10"/>
      <c r="G466" s="10"/>
      <c r="H466" s="10"/>
      <c r="I466" s="10"/>
      <c r="J466" s="10"/>
      <c r="K466" s="12"/>
      <c r="L466" s="10"/>
      <c r="M466" s="10"/>
      <c r="N466" s="13"/>
      <c r="O466" s="10"/>
      <c r="P466" s="10"/>
      <c r="Q466" s="10"/>
      <c r="R466" s="18"/>
      <c r="S466" s="10"/>
      <c r="T466" s="10"/>
      <c r="U466" s="13"/>
      <c r="V466" s="13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3"/>
      <c r="AL466" s="14"/>
      <c r="AM466" s="15"/>
      <c r="AN466" s="15"/>
      <c r="AO466" s="13"/>
      <c r="AP466" s="13"/>
      <c r="AQ466" s="16"/>
      <c r="AR466" s="10"/>
      <c r="AS466" s="10"/>
      <c r="AT466" s="10"/>
      <c r="AU466" s="10"/>
      <c r="AV466" s="11"/>
      <c r="AW466" s="11"/>
      <c r="AX466" s="10"/>
      <c r="AY466" s="11"/>
      <c r="AZ466" s="11"/>
      <c r="BA466" s="11"/>
      <c r="BB466" s="10"/>
      <c r="BC466" s="11"/>
      <c r="BD466" s="11"/>
      <c r="BE466" s="11"/>
      <c r="BF466" s="11"/>
      <c r="BG466" s="11"/>
      <c r="BH466" s="11"/>
      <c r="BI466" s="11"/>
      <c r="BJ466" s="11"/>
      <c r="BK466" s="11"/>
      <c r="BL466" s="11"/>
      <c r="BM466" s="11"/>
      <c r="BN466" s="11"/>
      <c r="BO466" s="11"/>
      <c r="BP466" s="11"/>
      <c r="BQ466" s="11"/>
      <c r="BR466" s="11"/>
      <c r="BS466" s="11"/>
      <c r="BT466" s="11"/>
      <c r="BU466" s="11"/>
      <c r="BV466" s="11"/>
      <c r="BW466" s="11"/>
      <c r="BX466" s="11"/>
      <c r="BY466" s="11"/>
      <c r="BZ466" s="11"/>
      <c r="CA466" s="11"/>
      <c r="CB466" s="11"/>
      <c r="CC466" s="17"/>
      <c r="CD466" s="17"/>
      <c r="CE466" s="11"/>
      <c r="CF466" s="13"/>
      <c r="CG466" s="13"/>
      <c r="CH466" s="13"/>
      <c r="CI466" s="13"/>
      <c r="CJ466" s="13"/>
    </row>
    <row r="467" spans="1:88" s="9" customFormat="1" x14ac:dyDescent="0.25">
      <c r="A467" s="10"/>
      <c r="B467" s="10"/>
      <c r="C467" s="10"/>
      <c r="D467" s="10"/>
      <c r="E467" s="11"/>
      <c r="F467" s="10"/>
      <c r="G467" s="10"/>
      <c r="H467" s="10"/>
      <c r="I467" s="10"/>
      <c r="J467" s="10"/>
      <c r="K467" s="12"/>
      <c r="L467" s="10"/>
      <c r="M467" s="10"/>
      <c r="N467" s="13"/>
      <c r="O467" s="10"/>
      <c r="P467" s="10"/>
      <c r="Q467" s="10"/>
      <c r="R467" s="18"/>
      <c r="S467" s="10"/>
      <c r="T467" s="10"/>
      <c r="U467" s="13"/>
      <c r="V467" s="13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3"/>
      <c r="AL467" s="14"/>
      <c r="AM467" s="15"/>
      <c r="AN467" s="15"/>
      <c r="AO467" s="13"/>
      <c r="AP467" s="13"/>
      <c r="AQ467" s="16"/>
      <c r="AR467" s="10"/>
      <c r="AS467" s="10"/>
      <c r="AT467" s="10"/>
      <c r="AU467" s="10"/>
      <c r="AV467" s="11"/>
      <c r="AW467" s="11"/>
      <c r="AX467" s="10"/>
      <c r="AY467" s="11"/>
      <c r="AZ467" s="11"/>
      <c r="BA467" s="11"/>
      <c r="BB467" s="10"/>
      <c r="BC467" s="11"/>
      <c r="BD467" s="11"/>
      <c r="BE467" s="11"/>
      <c r="BF467" s="11"/>
      <c r="BG467" s="11"/>
      <c r="BH467" s="11"/>
      <c r="BI467" s="11"/>
      <c r="BJ467" s="11"/>
      <c r="BK467" s="11"/>
      <c r="BL467" s="11"/>
      <c r="BM467" s="11"/>
      <c r="BN467" s="11"/>
      <c r="BO467" s="11"/>
      <c r="BP467" s="11"/>
      <c r="BQ467" s="11"/>
      <c r="BR467" s="11"/>
      <c r="BS467" s="11"/>
      <c r="BT467" s="11"/>
      <c r="BU467" s="11"/>
      <c r="BV467" s="11"/>
      <c r="BW467" s="11"/>
      <c r="BX467" s="11"/>
      <c r="BY467" s="11"/>
      <c r="BZ467" s="11"/>
      <c r="CA467" s="11"/>
      <c r="CB467" s="11"/>
      <c r="CC467" s="17"/>
      <c r="CD467" s="17"/>
      <c r="CE467" s="11"/>
      <c r="CF467" s="13"/>
      <c r="CG467" s="13"/>
      <c r="CH467" s="13"/>
      <c r="CI467" s="13"/>
      <c r="CJ467" s="13"/>
    </row>
    <row r="468" spans="1:88" s="9" customFormat="1" x14ac:dyDescent="0.25">
      <c r="A468" s="10"/>
      <c r="B468" s="10"/>
      <c r="C468" s="10"/>
      <c r="D468" s="10"/>
      <c r="E468" s="11"/>
      <c r="F468" s="10"/>
      <c r="G468" s="10"/>
      <c r="H468" s="10"/>
      <c r="I468" s="10"/>
      <c r="J468" s="10"/>
      <c r="K468" s="12"/>
      <c r="L468" s="10"/>
      <c r="M468" s="10"/>
      <c r="N468" s="13"/>
      <c r="O468" s="10"/>
      <c r="P468" s="10"/>
      <c r="Q468" s="10"/>
      <c r="R468" s="18"/>
      <c r="S468" s="10"/>
      <c r="T468" s="10"/>
      <c r="U468" s="13"/>
      <c r="V468" s="13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3"/>
      <c r="AL468" s="14"/>
      <c r="AM468" s="15"/>
      <c r="AN468" s="15"/>
      <c r="AO468" s="13"/>
      <c r="AP468" s="13"/>
      <c r="AQ468" s="16"/>
      <c r="AR468" s="10"/>
      <c r="AS468" s="10"/>
      <c r="AT468" s="10"/>
      <c r="AU468" s="10"/>
      <c r="AV468" s="11"/>
      <c r="AW468" s="11"/>
      <c r="AX468" s="10"/>
      <c r="AY468" s="11"/>
      <c r="AZ468" s="11"/>
      <c r="BA468" s="11"/>
      <c r="BB468" s="10"/>
      <c r="BC468" s="11"/>
      <c r="BD468" s="11"/>
      <c r="BE468" s="11"/>
      <c r="BF468" s="11"/>
      <c r="BG468" s="11"/>
      <c r="BH468" s="11"/>
      <c r="BI468" s="11"/>
      <c r="BJ468" s="11"/>
      <c r="BK468" s="11"/>
      <c r="BL468" s="11"/>
      <c r="BM468" s="11"/>
      <c r="BN468" s="11"/>
      <c r="BO468" s="11"/>
      <c r="BP468" s="11"/>
      <c r="BQ468" s="11"/>
      <c r="BR468" s="11"/>
      <c r="BS468" s="11"/>
      <c r="BT468" s="11"/>
      <c r="BU468" s="11"/>
      <c r="BV468" s="11"/>
      <c r="BW468" s="11"/>
      <c r="BX468" s="11"/>
      <c r="BY468" s="11"/>
      <c r="BZ468" s="11"/>
      <c r="CA468" s="11"/>
      <c r="CB468" s="11"/>
      <c r="CC468" s="17"/>
      <c r="CD468" s="17"/>
      <c r="CE468" s="11"/>
      <c r="CF468" s="13"/>
      <c r="CG468" s="13"/>
      <c r="CH468" s="13"/>
      <c r="CI468" s="13"/>
      <c r="CJ468" s="13"/>
    </row>
    <row r="469" spans="1:88" s="9" customFormat="1" x14ac:dyDescent="0.25">
      <c r="A469" s="10"/>
      <c r="B469" s="10"/>
      <c r="C469" s="10"/>
      <c r="D469" s="10"/>
      <c r="E469" s="11"/>
      <c r="F469" s="10"/>
      <c r="G469" s="10"/>
      <c r="H469" s="10"/>
      <c r="I469" s="10"/>
      <c r="J469" s="10"/>
      <c r="K469" s="12"/>
      <c r="L469" s="10"/>
      <c r="M469" s="10"/>
      <c r="N469" s="13"/>
      <c r="O469" s="10"/>
      <c r="P469" s="10"/>
      <c r="Q469" s="10"/>
      <c r="R469" s="18"/>
      <c r="S469" s="10"/>
      <c r="T469" s="10"/>
      <c r="U469" s="13"/>
      <c r="V469" s="13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3"/>
      <c r="AL469" s="14"/>
      <c r="AM469" s="15"/>
      <c r="AN469" s="15"/>
      <c r="AO469" s="13"/>
      <c r="AP469" s="13"/>
      <c r="AQ469" s="16"/>
      <c r="AR469" s="10"/>
      <c r="AS469" s="10"/>
      <c r="AT469" s="10"/>
      <c r="AU469" s="10"/>
      <c r="AV469" s="11"/>
      <c r="AW469" s="11"/>
      <c r="AX469" s="10"/>
      <c r="AY469" s="11"/>
      <c r="AZ469" s="11"/>
      <c r="BA469" s="11"/>
      <c r="BB469" s="10"/>
      <c r="BC469" s="11"/>
      <c r="BD469" s="11"/>
      <c r="BE469" s="11"/>
      <c r="BF469" s="11"/>
      <c r="BG469" s="11"/>
      <c r="BH469" s="11"/>
      <c r="BI469" s="11"/>
      <c r="BJ469" s="11"/>
      <c r="BK469" s="11"/>
      <c r="BL469" s="11"/>
      <c r="BM469" s="11"/>
      <c r="BN469" s="11"/>
      <c r="BO469" s="11"/>
      <c r="BP469" s="11"/>
      <c r="BQ469" s="11"/>
      <c r="BR469" s="11"/>
      <c r="BS469" s="11"/>
      <c r="BT469" s="11"/>
      <c r="BU469" s="11"/>
      <c r="BV469" s="11"/>
      <c r="BW469" s="11"/>
      <c r="BX469" s="11"/>
      <c r="BY469" s="11"/>
      <c r="BZ469" s="11"/>
      <c r="CA469" s="11"/>
      <c r="CB469" s="11"/>
      <c r="CC469" s="17"/>
      <c r="CD469" s="17"/>
      <c r="CE469" s="11"/>
      <c r="CF469" s="13"/>
      <c r="CG469" s="13"/>
      <c r="CH469" s="13"/>
      <c r="CI469" s="13"/>
      <c r="CJ469" s="13"/>
    </row>
    <row r="470" spans="1:88" s="9" customFormat="1" x14ac:dyDescent="0.25">
      <c r="A470" s="10"/>
      <c r="B470" s="10"/>
      <c r="C470" s="10"/>
      <c r="D470" s="10"/>
      <c r="E470" s="11"/>
      <c r="F470" s="10"/>
      <c r="G470" s="10"/>
      <c r="H470" s="10"/>
      <c r="I470" s="10"/>
      <c r="J470" s="10"/>
      <c r="K470" s="12"/>
      <c r="L470" s="10"/>
      <c r="M470" s="10"/>
      <c r="N470" s="13"/>
      <c r="O470" s="10"/>
      <c r="P470" s="10"/>
      <c r="Q470" s="10"/>
      <c r="R470" s="18"/>
      <c r="S470" s="10"/>
      <c r="T470" s="10"/>
      <c r="U470" s="13"/>
      <c r="V470" s="13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3"/>
      <c r="AL470" s="14"/>
      <c r="AM470" s="15"/>
      <c r="AN470" s="15"/>
      <c r="AO470" s="13"/>
      <c r="AP470" s="13"/>
      <c r="AQ470" s="16"/>
      <c r="AR470" s="10"/>
      <c r="AS470" s="10"/>
      <c r="AT470" s="10"/>
      <c r="AU470" s="10"/>
      <c r="AV470" s="11"/>
      <c r="AW470" s="11"/>
      <c r="AX470" s="10"/>
      <c r="AY470" s="11"/>
      <c r="AZ470" s="11"/>
      <c r="BA470" s="11"/>
      <c r="BB470" s="10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  <c r="BM470" s="11"/>
      <c r="BN470" s="11"/>
      <c r="BO470" s="11"/>
      <c r="BP470" s="11"/>
      <c r="BQ470" s="11"/>
      <c r="BR470" s="11"/>
      <c r="BS470" s="11"/>
      <c r="BT470" s="11"/>
      <c r="BU470" s="11"/>
      <c r="BV470" s="11"/>
      <c r="BW470" s="11"/>
      <c r="BX470" s="11"/>
      <c r="BY470" s="11"/>
      <c r="BZ470" s="11"/>
      <c r="CA470" s="11"/>
      <c r="CB470" s="11"/>
      <c r="CC470" s="17"/>
      <c r="CD470" s="17"/>
      <c r="CE470" s="11"/>
      <c r="CF470" s="13"/>
      <c r="CG470" s="13"/>
      <c r="CH470" s="13"/>
      <c r="CI470" s="13"/>
      <c r="CJ470" s="13"/>
    </row>
    <row r="471" spans="1:88" s="9" customFormat="1" x14ac:dyDescent="0.25">
      <c r="A471" s="10"/>
      <c r="B471" s="10"/>
      <c r="C471" s="10"/>
      <c r="D471" s="10"/>
      <c r="E471" s="11"/>
      <c r="F471" s="10"/>
      <c r="G471" s="10"/>
      <c r="H471" s="10"/>
      <c r="I471" s="10"/>
      <c r="J471" s="10"/>
      <c r="K471" s="12"/>
      <c r="L471" s="10"/>
      <c r="M471" s="10"/>
      <c r="N471" s="13"/>
      <c r="O471" s="10"/>
      <c r="P471" s="10"/>
      <c r="Q471" s="10"/>
      <c r="R471" s="18"/>
      <c r="S471" s="10"/>
      <c r="T471" s="10"/>
      <c r="U471" s="13"/>
      <c r="V471" s="13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3"/>
      <c r="AL471" s="14"/>
      <c r="AM471" s="15"/>
      <c r="AN471" s="15"/>
      <c r="AO471" s="13"/>
      <c r="AP471" s="13"/>
      <c r="AQ471" s="16"/>
      <c r="AR471" s="10"/>
      <c r="AS471" s="10"/>
      <c r="AT471" s="10"/>
      <c r="AU471" s="10"/>
      <c r="AV471" s="11"/>
      <c r="AW471" s="11"/>
      <c r="AX471" s="10"/>
      <c r="AY471" s="11"/>
      <c r="AZ471" s="11"/>
      <c r="BA471" s="11"/>
      <c r="BB471" s="10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  <c r="BM471" s="11"/>
      <c r="BN471" s="11"/>
      <c r="BO471" s="11"/>
      <c r="BP471" s="11"/>
      <c r="BQ471" s="11"/>
      <c r="BR471" s="11"/>
      <c r="BS471" s="11"/>
      <c r="BT471" s="11"/>
      <c r="BU471" s="11"/>
      <c r="BV471" s="11"/>
      <c r="BW471" s="11"/>
      <c r="BX471" s="11"/>
      <c r="BY471" s="11"/>
      <c r="BZ471" s="11"/>
      <c r="CA471" s="11"/>
      <c r="CB471" s="11"/>
      <c r="CC471" s="17"/>
      <c r="CD471" s="17"/>
      <c r="CE471" s="11"/>
      <c r="CF471" s="13"/>
      <c r="CG471" s="13"/>
      <c r="CH471" s="13"/>
      <c r="CI471" s="13"/>
      <c r="CJ471" s="13"/>
    </row>
    <row r="472" spans="1:88" s="9" customFormat="1" x14ac:dyDescent="0.25">
      <c r="A472" s="10"/>
      <c r="B472" s="10"/>
      <c r="C472" s="10"/>
      <c r="D472" s="10"/>
      <c r="E472" s="11"/>
      <c r="F472" s="10"/>
      <c r="G472" s="10"/>
      <c r="H472" s="10"/>
      <c r="I472" s="10"/>
      <c r="J472" s="10"/>
      <c r="K472" s="12"/>
      <c r="L472" s="10"/>
      <c r="M472" s="10"/>
      <c r="N472" s="13"/>
      <c r="O472" s="10"/>
      <c r="P472" s="10"/>
      <c r="Q472" s="10"/>
      <c r="R472" s="18"/>
      <c r="S472" s="10"/>
      <c r="T472" s="10"/>
      <c r="U472" s="13"/>
      <c r="V472" s="13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3"/>
      <c r="AL472" s="14"/>
      <c r="AM472" s="15"/>
      <c r="AN472" s="15"/>
      <c r="AO472" s="13"/>
      <c r="AP472" s="13"/>
      <c r="AQ472" s="16"/>
      <c r="AR472" s="10"/>
      <c r="AS472" s="10"/>
      <c r="AT472" s="10"/>
      <c r="AU472" s="10"/>
      <c r="AV472" s="11"/>
      <c r="AW472" s="11"/>
      <c r="AX472" s="10"/>
      <c r="AY472" s="11"/>
      <c r="AZ472" s="11"/>
      <c r="BA472" s="11"/>
      <c r="BB472" s="10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  <c r="BM472" s="11"/>
      <c r="BN472" s="11"/>
      <c r="BO472" s="11"/>
      <c r="BP472" s="11"/>
      <c r="BQ472" s="11"/>
      <c r="BR472" s="11"/>
      <c r="BS472" s="11"/>
      <c r="BT472" s="11"/>
      <c r="BU472" s="11"/>
      <c r="BV472" s="11"/>
      <c r="BW472" s="11"/>
      <c r="BX472" s="11"/>
      <c r="BY472" s="11"/>
      <c r="BZ472" s="11"/>
      <c r="CA472" s="11"/>
      <c r="CB472" s="11"/>
      <c r="CC472" s="17"/>
      <c r="CD472" s="17"/>
      <c r="CE472" s="11"/>
      <c r="CF472" s="13"/>
      <c r="CG472" s="13"/>
      <c r="CH472" s="13"/>
      <c r="CI472" s="13"/>
      <c r="CJ472" s="13"/>
    </row>
    <row r="473" spans="1:88" s="9" customFormat="1" x14ac:dyDescent="0.25">
      <c r="A473" s="10"/>
      <c r="B473" s="10"/>
      <c r="C473" s="10"/>
      <c r="D473" s="10"/>
      <c r="E473" s="11"/>
      <c r="F473" s="10"/>
      <c r="G473" s="10"/>
      <c r="H473" s="10"/>
      <c r="I473" s="10"/>
      <c r="J473" s="10"/>
      <c r="K473" s="12"/>
      <c r="L473" s="10"/>
      <c r="M473" s="10"/>
      <c r="N473" s="13"/>
      <c r="O473" s="10"/>
      <c r="P473" s="10"/>
      <c r="Q473" s="10"/>
      <c r="R473" s="18"/>
      <c r="S473" s="10"/>
      <c r="T473" s="10"/>
      <c r="U473" s="13"/>
      <c r="V473" s="13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3"/>
      <c r="AL473" s="14"/>
      <c r="AM473" s="15"/>
      <c r="AN473" s="15"/>
      <c r="AO473" s="13"/>
      <c r="AP473" s="13"/>
      <c r="AQ473" s="16"/>
      <c r="AR473" s="10"/>
      <c r="AS473" s="10"/>
      <c r="AT473" s="10"/>
      <c r="AU473" s="10"/>
      <c r="AV473" s="11"/>
      <c r="AW473" s="11"/>
      <c r="AX473" s="10"/>
      <c r="AY473" s="11"/>
      <c r="AZ473" s="11"/>
      <c r="BA473" s="11"/>
      <c r="BB473" s="10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  <c r="BM473" s="11"/>
      <c r="BN473" s="11"/>
      <c r="BO473" s="11"/>
      <c r="BP473" s="11"/>
      <c r="BQ473" s="11"/>
      <c r="BR473" s="11"/>
      <c r="BS473" s="11"/>
      <c r="BT473" s="11"/>
      <c r="BU473" s="11"/>
      <c r="BV473" s="11"/>
      <c r="BW473" s="11"/>
      <c r="BX473" s="11"/>
      <c r="BY473" s="11"/>
      <c r="BZ473" s="11"/>
      <c r="CA473" s="11"/>
      <c r="CB473" s="11"/>
      <c r="CC473" s="17"/>
      <c r="CD473" s="17"/>
      <c r="CE473" s="11"/>
      <c r="CF473" s="13"/>
      <c r="CG473" s="13"/>
      <c r="CH473" s="13"/>
      <c r="CI473" s="13"/>
      <c r="CJ473" s="13"/>
    </row>
    <row r="474" spans="1:88" s="9" customFormat="1" x14ac:dyDescent="0.25">
      <c r="A474" s="10"/>
      <c r="B474" s="10"/>
      <c r="C474" s="10"/>
      <c r="D474" s="10"/>
      <c r="E474" s="11"/>
      <c r="F474" s="10"/>
      <c r="G474" s="10"/>
      <c r="H474" s="10"/>
      <c r="I474" s="10"/>
      <c r="J474" s="10"/>
      <c r="K474" s="12"/>
      <c r="L474" s="10"/>
      <c r="M474" s="10"/>
      <c r="N474" s="13"/>
      <c r="O474" s="10"/>
      <c r="P474" s="10"/>
      <c r="Q474" s="10"/>
      <c r="R474" s="18"/>
      <c r="S474" s="10"/>
      <c r="T474" s="10"/>
      <c r="U474" s="13"/>
      <c r="V474" s="13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3"/>
      <c r="AL474" s="14"/>
      <c r="AM474" s="15"/>
      <c r="AN474" s="15"/>
      <c r="AO474" s="13"/>
      <c r="AP474" s="13"/>
      <c r="AQ474" s="16"/>
      <c r="AR474" s="10"/>
      <c r="AS474" s="10"/>
      <c r="AT474" s="10"/>
      <c r="AU474" s="10"/>
      <c r="AV474" s="11"/>
      <c r="AW474" s="11"/>
      <c r="AX474" s="10"/>
      <c r="AY474" s="11"/>
      <c r="AZ474" s="11"/>
      <c r="BA474" s="11"/>
      <c r="BB474" s="10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  <c r="BM474" s="11"/>
      <c r="BN474" s="11"/>
      <c r="BO474" s="11"/>
      <c r="BP474" s="11"/>
      <c r="BQ474" s="11"/>
      <c r="BR474" s="11"/>
      <c r="BS474" s="11"/>
      <c r="BT474" s="11"/>
      <c r="BU474" s="11"/>
      <c r="BV474" s="11"/>
      <c r="BW474" s="11"/>
      <c r="BX474" s="11"/>
      <c r="BY474" s="11"/>
      <c r="BZ474" s="11"/>
      <c r="CA474" s="11"/>
      <c r="CB474" s="11"/>
      <c r="CC474" s="17"/>
      <c r="CD474" s="17"/>
      <c r="CE474" s="11"/>
      <c r="CF474" s="13"/>
      <c r="CG474" s="13"/>
      <c r="CH474" s="13"/>
      <c r="CI474" s="13"/>
      <c r="CJ474" s="13"/>
    </row>
    <row r="475" spans="1:88" s="9" customFormat="1" x14ac:dyDescent="0.25">
      <c r="A475" s="10"/>
      <c r="B475" s="10"/>
      <c r="C475" s="10"/>
      <c r="D475" s="10"/>
      <c r="E475" s="11"/>
      <c r="F475" s="10"/>
      <c r="G475" s="10"/>
      <c r="H475" s="10"/>
      <c r="I475" s="10"/>
      <c r="J475" s="10"/>
      <c r="K475" s="12"/>
      <c r="L475" s="10"/>
      <c r="M475" s="10"/>
      <c r="N475" s="13"/>
      <c r="O475" s="10"/>
      <c r="P475" s="10"/>
      <c r="Q475" s="10"/>
      <c r="R475" s="18"/>
      <c r="S475" s="10"/>
      <c r="T475" s="10"/>
      <c r="U475" s="13"/>
      <c r="V475" s="13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3"/>
      <c r="AL475" s="14"/>
      <c r="AM475" s="15"/>
      <c r="AN475" s="15"/>
      <c r="AO475" s="13"/>
      <c r="AP475" s="13"/>
      <c r="AQ475" s="16"/>
      <c r="AR475" s="10"/>
      <c r="AS475" s="10"/>
      <c r="AT475" s="10"/>
      <c r="AU475" s="10"/>
      <c r="AV475" s="11"/>
      <c r="AW475" s="11"/>
      <c r="AX475" s="10"/>
      <c r="AY475" s="11"/>
      <c r="AZ475" s="11"/>
      <c r="BA475" s="11"/>
      <c r="BB475" s="10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  <c r="BM475" s="11"/>
      <c r="BN475" s="11"/>
      <c r="BO475" s="11"/>
      <c r="BP475" s="11"/>
      <c r="BQ475" s="11"/>
      <c r="BR475" s="11"/>
      <c r="BS475" s="11"/>
      <c r="BT475" s="11"/>
      <c r="BU475" s="11"/>
      <c r="BV475" s="11"/>
      <c r="BW475" s="11"/>
      <c r="BX475" s="11"/>
      <c r="BY475" s="11"/>
      <c r="BZ475" s="11"/>
      <c r="CA475" s="11"/>
      <c r="CB475" s="11"/>
      <c r="CC475" s="17"/>
      <c r="CD475" s="17"/>
      <c r="CE475" s="11"/>
      <c r="CF475" s="13"/>
      <c r="CG475" s="13"/>
      <c r="CH475" s="13"/>
      <c r="CI475" s="13"/>
      <c r="CJ475" s="13"/>
    </row>
    <row r="476" spans="1:88" s="9" customFormat="1" x14ac:dyDescent="0.25">
      <c r="A476" s="10"/>
      <c r="B476" s="10"/>
      <c r="C476" s="10"/>
      <c r="D476" s="10"/>
      <c r="E476" s="11"/>
      <c r="F476" s="10"/>
      <c r="G476" s="10"/>
      <c r="H476" s="10"/>
      <c r="I476" s="10"/>
      <c r="J476" s="10"/>
      <c r="K476" s="12"/>
      <c r="L476" s="10"/>
      <c r="M476" s="10"/>
      <c r="N476" s="13"/>
      <c r="O476" s="10"/>
      <c r="P476" s="10"/>
      <c r="Q476" s="10"/>
      <c r="R476" s="18"/>
      <c r="S476" s="10"/>
      <c r="T476" s="10"/>
      <c r="U476" s="13"/>
      <c r="V476" s="13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3"/>
      <c r="AL476" s="14"/>
      <c r="AM476" s="15"/>
      <c r="AN476" s="15"/>
      <c r="AO476" s="13"/>
      <c r="AP476" s="13"/>
      <c r="AQ476" s="16"/>
      <c r="AR476" s="10"/>
      <c r="AS476" s="10"/>
      <c r="AT476" s="10"/>
      <c r="AU476" s="10"/>
      <c r="AV476" s="11"/>
      <c r="AW476" s="11"/>
      <c r="AX476" s="10"/>
      <c r="AY476" s="11"/>
      <c r="AZ476" s="11"/>
      <c r="BA476" s="11"/>
      <c r="BB476" s="10"/>
      <c r="BC476" s="11"/>
      <c r="BD476" s="11"/>
      <c r="BE476" s="11"/>
      <c r="BF476" s="11"/>
      <c r="BG476" s="11"/>
      <c r="BH476" s="11"/>
      <c r="BI476" s="11"/>
      <c r="BJ476" s="11"/>
      <c r="BK476" s="11"/>
      <c r="BL476" s="11"/>
      <c r="BM476" s="11"/>
      <c r="BN476" s="11"/>
      <c r="BO476" s="11"/>
      <c r="BP476" s="11"/>
      <c r="BQ476" s="11"/>
      <c r="BR476" s="11"/>
      <c r="BS476" s="11"/>
      <c r="BT476" s="11"/>
      <c r="BU476" s="11"/>
      <c r="BV476" s="11"/>
      <c r="BW476" s="11"/>
      <c r="BX476" s="11"/>
      <c r="BY476" s="11"/>
      <c r="BZ476" s="11"/>
      <c r="CA476" s="11"/>
      <c r="CB476" s="11"/>
      <c r="CC476" s="17"/>
      <c r="CD476" s="17"/>
      <c r="CE476" s="11"/>
      <c r="CF476" s="13"/>
      <c r="CG476" s="13"/>
      <c r="CH476" s="13"/>
      <c r="CI476" s="13"/>
      <c r="CJ476" s="13"/>
    </row>
    <row r="477" spans="1:88" s="9" customFormat="1" x14ac:dyDescent="0.25">
      <c r="A477" s="10"/>
      <c r="B477" s="10"/>
      <c r="C477" s="10"/>
      <c r="D477" s="10"/>
      <c r="E477" s="11"/>
      <c r="F477" s="10"/>
      <c r="G477" s="10"/>
      <c r="H477" s="10"/>
      <c r="I477" s="10"/>
      <c r="J477" s="10"/>
      <c r="K477" s="12"/>
      <c r="L477" s="10"/>
      <c r="M477" s="10"/>
      <c r="N477" s="13"/>
      <c r="O477" s="10"/>
      <c r="P477" s="10"/>
      <c r="Q477" s="10"/>
      <c r="R477" s="18"/>
      <c r="S477" s="10"/>
      <c r="T477" s="10"/>
      <c r="U477" s="13"/>
      <c r="V477" s="13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3"/>
      <c r="AL477" s="14"/>
      <c r="AM477" s="15"/>
      <c r="AN477" s="15"/>
      <c r="AO477" s="13"/>
      <c r="AP477" s="13"/>
      <c r="AQ477" s="16"/>
      <c r="AR477" s="10"/>
      <c r="AS477" s="10"/>
      <c r="AT477" s="10"/>
      <c r="AU477" s="10"/>
      <c r="AV477" s="11"/>
      <c r="AW477" s="11"/>
      <c r="AX477" s="10"/>
      <c r="AY477" s="11"/>
      <c r="AZ477" s="11"/>
      <c r="BA477" s="11"/>
      <c r="BB477" s="10"/>
      <c r="BC477" s="11"/>
      <c r="BD477" s="11"/>
      <c r="BE477" s="11"/>
      <c r="BF477" s="11"/>
      <c r="BG477" s="11"/>
      <c r="BH477" s="11"/>
      <c r="BI477" s="11"/>
      <c r="BJ477" s="11"/>
      <c r="BK477" s="11"/>
      <c r="BL477" s="11"/>
      <c r="BM477" s="11"/>
      <c r="BN477" s="11"/>
      <c r="BO477" s="11"/>
      <c r="BP477" s="11"/>
      <c r="BQ477" s="11"/>
      <c r="BR477" s="11"/>
      <c r="BS477" s="11"/>
      <c r="BT477" s="11"/>
      <c r="BU477" s="11"/>
      <c r="BV477" s="11"/>
      <c r="BW477" s="11"/>
      <c r="BX477" s="11"/>
      <c r="BY477" s="11"/>
      <c r="BZ477" s="11"/>
      <c r="CA477" s="11"/>
      <c r="CB477" s="11"/>
      <c r="CC477" s="17"/>
      <c r="CD477" s="17"/>
      <c r="CE477" s="11"/>
      <c r="CF477" s="13"/>
      <c r="CG477" s="13"/>
      <c r="CH477" s="13"/>
      <c r="CI477" s="13"/>
      <c r="CJ477" s="13"/>
    </row>
    <row r="478" spans="1:88" s="9" customFormat="1" x14ac:dyDescent="0.25">
      <c r="A478" s="10"/>
      <c r="B478" s="10"/>
      <c r="C478" s="10"/>
      <c r="D478" s="10"/>
      <c r="E478" s="11"/>
      <c r="F478" s="10"/>
      <c r="G478" s="10"/>
      <c r="H478" s="10"/>
      <c r="I478" s="10"/>
      <c r="J478" s="10"/>
      <c r="K478" s="12"/>
      <c r="L478" s="10"/>
      <c r="M478" s="10"/>
      <c r="N478" s="13"/>
      <c r="O478" s="10"/>
      <c r="P478" s="10"/>
      <c r="Q478" s="10"/>
      <c r="R478" s="18"/>
      <c r="S478" s="10"/>
      <c r="T478" s="10"/>
      <c r="U478" s="13"/>
      <c r="V478" s="13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3"/>
      <c r="AL478" s="14"/>
      <c r="AM478" s="15"/>
      <c r="AN478" s="15"/>
      <c r="AO478" s="13"/>
      <c r="AP478" s="13"/>
      <c r="AQ478" s="16"/>
      <c r="AR478" s="10"/>
      <c r="AS478" s="10"/>
      <c r="AT478" s="10"/>
      <c r="AU478" s="10"/>
      <c r="AV478" s="11"/>
      <c r="AW478" s="11"/>
      <c r="AX478" s="10"/>
      <c r="AY478" s="11"/>
      <c r="AZ478" s="11"/>
      <c r="BA478" s="11"/>
      <c r="BB478" s="10"/>
      <c r="BC478" s="11"/>
      <c r="BD478" s="11"/>
      <c r="BE478" s="11"/>
      <c r="BF478" s="11"/>
      <c r="BG478" s="11"/>
      <c r="BH478" s="11"/>
      <c r="BI478" s="11"/>
      <c r="BJ478" s="11"/>
      <c r="BK478" s="11"/>
      <c r="BL478" s="11"/>
      <c r="BM478" s="11"/>
      <c r="BN478" s="11"/>
      <c r="BO478" s="11"/>
      <c r="BP478" s="11"/>
      <c r="BQ478" s="11"/>
      <c r="BR478" s="11"/>
      <c r="BS478" s="11"/>
      <c r="BT478" s="11"/>
      <c r="BU478" s="11"/>
      <c r="BV478" s="11"/>
      <c r="BW478" s="11"/>
      <c r="BX478" s="11"/>
      <c r="BY478" s="11"/>
      <c r="BZ478" s="11"/>
      <c r="CA478" s="11"/>
      <c r="CB478" s="11"/>
      <c r="CC478" s="17"/>
      <c r="CD478" s="17"/>
      <c r="CE478" s="11"/>
      <c r="CF478" s="13"/>
      <c r="CG478" s="13"/>
      <c r="CH478" s="13"/>
      <c r="CI478" s="13"/>
      <c r="CJ478" s="13"/>
    </row>
    <row r="479" spans="1:88" s="9" customFormat="1" x14ac:dyDescent="0.25">
      <c r="A479" s="10"/>
      <c r="B479" s="10"/>
      <c r="C479" s="10"/>
      <c r="D479" s="10"/>
      <c r="E479" s="11"/>
      <c r="F479" s="10"/>
      <c r="G479" s="10"/>
      <c r="H479" s="10"/>
      <c r="I479" s="10"/>
      <c r="J479" s="10"/>
      <c r="K479" s="12"/>
      <c r="L479" s="10"/>
      <c r="M479" s="10"/>
      <c r="N479" s="13"/>
      <c r="O479" s="10"/>
      <c r="P479" s="10"/>
      <c r="Q479" s="10"/>
      <c r="R479" s="18"/>
      <c r="S479" s="10"/>
      <c r="T479" s="10"/>
      <c r="U479" s="13"/>
      <c r="V479" s="13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3"/>
      <c r="AL479" s="14"/>
      <c r="AM479" s="15"/>
      <c r="AN479" s="15"/>
      <c r="AO479" s="13"/>
      <c r="AP479" s="13"/>
      <c r="AQ479" s="16"/>
      <c r="AR479" s="10"/>
      <c r="AS479" s="10"/>
      <c r="AT479" s="10"/>
      <c r="AU479" s="10"/>
      <c r="AV479" s="11"/>
      <c r="AW479" s="11"/>
      <c r="AX479" s="10"/>
      <c r="AY479" s="11"/>
      <c r="AZ479" s="11"/>
      <c r="BA479" s="11"/>
      <c r="BB479" s="10"/>
      <c r="BC479" s="11"/>
      <c r="BD479" s="11"/>
      <c r="BE479" s="11"/>
      <c r="BF479" s="11"/>
      <c r="BG479" s="11"/>
      <c r="BH479" s="11"/>
      <c r="BI479" s="11"/>
      <c r="BJ479" s="11"/>
      <c r="BK479" s="11"/>
      <c r="BL479" s="11"/>
      <c r="BM479" s="11"/>
      <c r="BN479" s="11"/>
      <c r="BO479" s="11"/>
      <c r="BP479" s="11"/>
      <c r="BQ479" s="11"/>
      <c r="BR479" s="11"/>
      <c r="BS479" s="11"/>
      <c r="BT479" s="11"/>
      <c r="BU479" s="11"/>
      <c r="BV479" s="11"/>
      <c r="BW479" s="11"/>
      <c r="BX479" s="11"/>
      <c r="BY479" s="11"/>
      <c r="BZ479" s="11"/>
      <c r="CA479" s="11"/>
      <c r="CB479" s="11"/>
      <c r="CC479" s="17"/>
      <c r="CD479" s="17"/>
      <c r="CE479" s="11"/>
      <c r="CF479" s="13"/>
      <c r="CG479" s="13"/>
      <c r="CH479" s="13"/>
      <c r="CI479" s="13"/>
      <c r="CJ479" s="13"/>
    </row>
    <row r="480" spans="1:88" s="9" customFormat="1" x14ac:dyDescent="0.25">
      <c r="A480" s="10"/>
      <c r="B480" s="10"/>
      <c r="C480" s="10"/>
      <c r="D480" s="10"/>
      <c r="E480" s="11"/>
      <c r="F480" s="10"/>
      <c r="G480" s="10"/>
      <c r="H480" s="10"/>
      <c r="I480" s="10"/>
      <c r="J480" s="10"/>
      <c r="K480" s="12"/>
      <c r="L480" s="10"/>
      <c r="M480" s="10"/>
      <c r="N480" s="13"/>
      <c r="O480" s="10"/>
      <c r="P480" s="10"/>
      <c r="Q480" s="10"/>
      <c r="R480" s="18"/>
      <c r="S480" s="10"/>
      <c r="T480" s="10"/>
      <c r="U480" s="13"/>
      <c r="V480" s="13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3"/>
      <c r="AL480" s="14"/>
      <c r="AM480" s="15"/>
      <c r="AN480" s="15"/>
      <c r="AO480" s="13"/>
      <c r="AP480" s="13"/>
      <c r="AQ480" s="16"/>
      <c r="AR480" s="10"/>
      <c r="AS480" s="10"/>
      <c r="AT480" s="10"/>
      <c r="AU480" s="10"/>
      <c r="AV480" s="11"/>
      <c r="AW480" s="11"/>
      <c r="AX480" s="10"/>
      <c r="AY480" s="11"/>
      <c r="AZ480" s="11"/>
      <c r="BA480" s="11"/>
      <c r="BB480" s="10"/>
      <c r="BC480" s="11"/>
      <c r="BD480" s="11"/>
      <c r="BE480" s="11"/>
      <c r="BF480" s="11"/>
      <c r="BG480" s="11"/>
      <c r="BH480" s="11"/>
      <c r="BI480" s="11"/>
      <c r="BJ480" s="11"/>
      <c r="BK480" s="11"/>
      <c r="BL480" s="11"/>
      <c r="BM480" s="11"/>
      <c r="BN480" s="11"/>
      <c r="BO480" s="11"/>
      <c r="BP480" s="11"/>
      <c r="BQ480" s="11"/>
      <c r="BR480" s="11"/>
      <c r="BS480" s="11"/>
      <c r="BT480" s="11"/>
      <c r="BU480" s="11"/>
      <c r="BV480" s="11"/>
      <c r="BW480" s="11"/>
      <c r="BX480" s="11"/>
      <c r="BY480" s="11"/>
      <c r="BZ480" s="11"/>
      <c r="CA480" s="11"/>
      <c r="CB480" s="11"/>
      <c r="CC480" s="17"/>
      <c r="CD480" s="17"/>
      <c r="CE480" s="11"/>
      <c r="CF480" s="13"/>
      <c r="CG480" s="13"/>
      <c r="CH480" s="13"/>
      <c r="CI480" s="13"/>
      <c r="CJ480" s="13"/>
    </row>
    <row r="481" spans="1:88" s="9" customFormat="1" x14ac:dyDescent="0.25">
      <c r="A481" s="10"/>
      <c r="B481" s="10"/>
      <c r="C481" s="10"/>
      <c r="D481" s="10"/>
      <c r="E481" s="11"/>
      <c r="F481" s="10"/>
      <c r="G481" s="10"/>
      <c r="H481" s="10"/>
      <c r="I481" s="10"/>
      <c r="J481" s="10"/>
      <c r="K481" s="12"/>
      <c r="L481" s="10"/>
      <c r="M481" s="10"/>
      <c r="N481" s="13"/>
      <c r="O481" s="10"/>
      <c r="P481" s="10"/>
      <c r="Q481" s="10"/>
      <c r="R481" s="18"/>
      <c r="S481" s="10"/>
      <c r="T481" s="10"/>
      <c r="U481" s="13"/>
      <c r="V481" s="13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3"/>
      <c r="AL481" s="14"/>
      <c r="AM481" s="15"/>
      <c r="AN481" s="15"/>
      <c r="AO481" s="13"/>
      <c r="AP481" s="13"/>
      <c r="AQ481" s="16"/>
      <c r="AR481" s="10"/>
      <c r="AS481" s="10"/>
      <c r="AT481" s="10"/>
      <c r="AU481" s="10"/>
      <c r="AV481" s="11"/>
      <c r="AW481" s="11"/>
      <c r="AX481" s="10"/>
      <c r="AY481" s="11"/>
      <c r="AZ481" s="11"/>
      <c r="BA481" s="11"/>
      <c r="BB481" s="10"/>
      <c r="BC481" s="11"/>
      <c r="BD481" s="11"/>
      <c r="BE481" s="11"/>
      <c r="BF481" s="11"/>
      <c r="BG481" s="11"/>
      <c r="BH481" s="11"/>
      <c r="BI481" s="11"/>
      <c r="BJ481" s="11"/>
      <c r="BK481" s="11"/>
      <c r="BL481" s="11"/>
      <c r="BM481" s="11"/>
      <c r="BN481" s="11"/>
      <c r="BO481" s="11"/>
      <c r="BP481" s="11"/>
      <c r="BQ481" s="11"/>
      <c r="BR481" s="11"/>
      <c r="BS481" s="11"/>
      <c r="BT481" s="11"/>
      <c r="BU481" s="11"/>
      <c r="BV481" s="11"/>
      <c r="BW481" s="11"/>
      <c r="BX481" s="11"/>
      <c r="BY481" s="11"/>
      <c r="BZ481" s="11"/>
      <c r="CA481" s="11"/>
      <c r="CB481" s="11"/>
      <c r="CC481" s="17"/>
      <c r="CD481" s="17"/>
      <c r="CE481" s="11"/>
      <c r="CF481" s="13"/>
      <c r="CG481" s="13"/>
      <c r="CH481" s="13"/>
      <c r="CI481" s="13"/>
      <c r="CJ481" s="13"/>
    </row>
    <row r="482" spans="1:88" s="9" customFormat="1" x14ac:dyDescent="0.25">
      <c r="A482" s="10"/>
      <c r="B482" s="10"/>
      <c r="C482" s="10"/>
      <c r="D482" s="10"/>
      <c r="E482" s="11"/>
      <c r="F482" s="10"/>
      <c r="G482" s="10"/>
      <c r="H482" s="10"/>
      <c r="I482" s="10"/>
      <c r="J482" s="10"/>
      <c r="K482" s="12"/>
      <c r="L482" s="10"/>
      <c r="M482" s="10"/>
      <c r="N482" s="13"/>
      <c r="O482" s="10"/>
      <c r="P482" s="10"/>
      <c r="Q482" s="10"/>
      <c r="R482" s="18"/>
      <c r="S482" s="10"/>
      <c r="T482" s="10"/>
      <c r="U482" s="13"/>
      <c r="V482" s="13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3"/>
      <c r="AL482" s="14"/>
      <c r="AM482" s="15"/>
      <c r="AN482" s="15"/>
      <c r="AO482" s="13"/>
      <c r="AP482" s="13"/>
      <c r="AQ482" s="16"/>
      <c r="AR482" s="10"/>
      <c r="AS482" s="10"/>
      <c r="AT482" s="10"/>
      <c r="AU482" s="10"/>
      <c r="AV482" s="11"/>
      <c r="AW482" s="11"/>
      <c r="AX482" s="10"/>
      <c r="AY482" s="11"/>
      <c r="AZ482" s="11"/>
      <c r="BA482" s="11"/>
      <c r="BB482" s="10"/>
      <c r="BC482" s="11"/>
      <c r="BD482" s="11"/>
      <c r="BE482" s="11"/>
      <c r="BF482" s="11"/>
      <c r="BG482" s="11"/>
      <c r="BH482" s="11"/>
      <c r="BI482" s="11"/>
      <c r="BJ482" s="11"/>
      <c r="BK482" s="11"/>
      <c r="BL482" s="11"/>
      <c r="BM482" s="11"/>
      <c r="BN482" s="11"/>
      <c r="BO482" s="11"/>
      <c r="BP482" s="11"/>
      <c r="BQ482" s="11"/>
      <c r="BR482" s="11"/>
      <c r="BS482" s="11"/>
      <c r="BT482" s="11"/>
      <c r="BU482" s="11"/>
      <c r="BV482" s="11"/>
      <c r="BW482" s="11"/>
      <c r="BX482" s="11"/>
      <c r="BY482" s="11"/>
      <c r="BZ482" s="11"/>
      <c r="CA482" s="11"/>
      <c r="CB482" s="11"/>
      <c r="CC482" s="17"/>
      <c r="CD482" s="17"/>
      <c r="CE482" s="11"/>
      <c r="CF482" s="13"/>
      <c r="CG482" s="13"/>
      <c r="CH482" s="13"/>
      <c r="CI482" s="13"/>
      <c r="CJ482" s="13"/>
    </row>
    <row r="483" spans="1:88" s="9" customFormat="1" x14ac:dyDescent="0.25">
      <c r="A483" s="10"/>
      <c r="B483" s="10"/>
      <c r="C483" s="10"/>
      <c r="D483" s="10"/>
      <c r="E483" s="11"/>
      <c r="F483" s="10"/>
      <c r="G483" s="10"/>
      <c r="H483" s="10"/>
      <c r="I483" s="10"/>
      <c r="J483" s="10"/>
      <c r="K483" s="12"/>
      <c r="L483" s="10"/>
      <c r="M483" s="10"/>
      <c r="N483" s="13"/>
      <c r="O483" s="10"/>
      <c r="P483" s="10"/>
      <c r="Q483" s="10"/>
      <c r="R483" s="18"/>
      <c r="S483" s="10"/>
      <c r="T483" s="10"/>
      <c r="U483" s="13"/>
      <c r="V483" s="13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3"/>
      <c r="AL483" s="14"/>
      <c r="AM483" s="15"/>
      <c r="AN483" s="15"/>
      <c r="AO483" s="13"/>
      <c r="AP483" s="13"/>
      <c r="AQ483" s="16"/>
      <c r="AR483" s="10"/>
      <c r="AS483" s="10"/>
      <c r="AT483" s="10"/>
      <c r="AU483" s="10"/>
      <c r="AV483" s="11"/>
      <c r="AW483" s="11"/>
      <c r="AX483" s="10"/>
      <c r="AY483" s="11"/>
      <c r="AZ483" s="11"/>
      <c r="BA483" s="11"/>
      <c r="BB483" s="10"/>
      <c r="BC483" s="11"/>
      <c r="BD483" s="11"/>
      <c r="BE483" s="11"/>
      <c r="BF483" s="11"/>
      <c r="BG483" s="11"/>
      <c r="BH483" s="11"/>
      <c r="BI483" s="11"/>
      <c r="BJ483" s="11"/>
      <c r="BK483" s="11"/>
      <c r="BL483" s="11"/>
      <c r="BM483" s="11"/>
      <c r="BN483" s="11"/>
      <c r="BO483" s="11"/>
      <c r="BP483" s="11"/>
      <c r="BQ483" s="11"/>
      <c r="BR483" s="11"/>
      <c r="BS483" s="11"/>
      <c r="BT483" s="11"/>
      <c r="BU483" s="11"/>
      <c r="BV483" s="11"/>
      <c r="BW483" s="11"/>
      <c r="BX483" s="11"/>
      <c r="BY483" s="11"/>
      <c r="BZ483" s="11"/>
      <c r="CA483" s="11"/>
      <c r="CB483" s="11"/>
      <c r="CC483" s="17"/>
      <c r="CD483" s="17"/>
      <c r="CE483" s="11"/>
      <c r="CF483" s="13"/>
      <c r="CG483" s="13"/>
      <c r="CH483" s="13"/>
      <c r="CI483" s="13"/>
      <c r="CJ483" s="13"/>
    </row>
    <row r="484" spans="1:88" s="9" customFormat="1" x14ac:dyDescent="0.25">
      <c r="A484" s="10"/>
      <c r="B484" s="10"/>
      <c r="C484" s="10"/>
      <c r="D484" s="10"/>
      <c r="E484" s="11"/>
      <c r="F484" s="10"/>
      <c r="G484" s="10"/>
      <c r="H484" s="10"/>
      <c r="I484" s="10"/>
      <c r="J484" s="10"/>
      <c r="K484" s="12"/>
      <c r="L484" s="10"/>
      <c r="M484" s="10"/>
      <c r="N484" s="13"/>
      <c r="O484" s="10"/>
      <c r="P484" s="10"/>
      <c r="Q484" s="10"/>
      <c r="R484" s="18"/>
      <c r="S484" s="10"/>
      <c r="T484" s="10"/>
      <c r="U484" s="13"/>
      <c r="V484" s="13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3"/>
      <c r="AL484" s="14"/>
      <c r="AM484" s="15"/>
      <c r="AN484" s="15"/>
      <c r="AO484" s="13"/>
      <c r="AP484" s="13"/>
      <c r="AQ484" s="16"/>
      <c r="AR484" s="10"/>
      <c r="AS484" s="10"/>
      <c r="AT484" s="10"/>
      <c r="AU484" s="10"/>
      <c r="AV484" s="11"/>
      <c r="AW484" s="11"/>
      <c r="AX484" s="10"/>
      <c r="AY484" s="11"/>
      <c r="AZ484" s="11"/>
      <c r="BA484" s="11"/>
      <c r="BB484" s="10"/>
      <c r="BC484" s="11"/>
      <c r="BD484" s="11"/>
      <c r="BE484" s="11"/>
      <c r="BF484" s="11"/>
      <c r="BG484" s="11"/>
      <c r="BH484" s="11"/>
      <c r="BI484" s="11"/>
      <c r="BJ484" s="11"/>
      <c r="BK484" s="11"/>
      <c r="BL484" s="11"/>
      <c r="BM484" s="11"/>
      <c r="BN484" s="11"/>
      <c r="BO484" s="11"/>
      <c r="BP484" s="11"/>
      <c r="BQ484" s="11"/>
      <c r="BR484" s="11"/>
      <c r="BS484" s="11"/>
      <c r="BT484" s="11"/>
      <c r="BU484" s="11"/>
      <c r="BV484" s="11"/>
      <c r="BW484" s="11"/>
      <c r="BX484" s="11"/>
      <c r="BY484" s="11"/>
      <c r="BZ484" s="11"/>
      <c r="CA484" s="11"/>
      <c r="CB484" s="11"/>
      <c r="CC484" s="17"/>
      <c r="CD484" s="17"/>
      <c r="CE484" s="11"/>
      <c r="CF484" s="13"/>
      <c r="CG484" s="13"/>
      <c r="CH484" s="13"/>
      <c r="CI484" s="13"/>
      <c r="CJ484" s="13"/>
    </row>
    <row r="485" spans="1:88" s="9" customFormat="1" x14ac:dyDescent="0.25">
      <c r="A485" s="10"/>
      <c r="B485" s="10"/>
      <c r="C485" s="10"/>
      <c r="D485" s="10"/>
      <c r="E485" s="11"/>
      <c r="F485" s="10"/>
      <c r="G485" s="10"/>
      <c r="H485" s="10"/>
      <c r="I485" s="10"/>
      <c r="J485" s="10"/>
      <c r="K485" s="12"/>
      <c r="L485" s="10"/>
      <c r="M485" s="10"/>
      <c r="N485" s="13"/>
      <c r="O485" s="10"/>
      <c r="P485" s="10"/>
      <c r="Q485" s="10"/>
      <c r="R485" s="18"/>
      <c r="S485" s="10"/>
      <c r="T485" s="10"/>
      <c r="U485" s="13"/>
      <c r="V485" s="13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3"/>
      <c r="AL485" s="14"/>
      <c r="AM485" s="15"/>
      <c r="AN485" s="15"/>
      <c r="AO485" s="13"/>
      <c r="AP485" s="13"/>
      <c r="AQ485" s="16"/>
      <c r="AR485" s="10"/>
      <c r="AS485" s="10"/>
      <c r="AT485" s="10"/>
      <c r="AU485" s="10"/>
      <c r="AV485" s="11"/>
      <c r="AW485" s="11"/>
      <c r="AX485" s="10"/>
      <c r="AY485" s="11"/>
      <c r="AZ485" s="11"/>
      <c r="BA485" s="11"/>
      <c r="BB485" s="10"/>
      <c r="BC485" s="11"/>
      <c r="BD485" s="11"/>
      <c r="BE485" s="11"/>
      <c r="BF485" s="11"/>
      <c r="BG485" s="11"/>
      <c r="BH485" s="11"/>
      <c r="BI485" s="11"/>
      <c r="BJ485" s="11"/>
      <c r="BK485" s="11"/>
      <c r="BL485" s="11"/>
      <c r="BM485" s="11"/>
      <c r="BN485" s="11"/>
      <c r="BO485" s="11"/>
      <c r="BP485" s="11"/>
      <c r="BQ485" s="11"/>
      <c r="BR485" s="11"/>
      <c r="BS485" s="11"/>
      <c r="BT485" s="11"/>
      <c r="BU485" s="11"/>
      <c r="BV485" s="11"/>
      <c r="BW485" s="11"/>
      <c r="BX485" s="11"/>
      <c r="BY485" s="11"/>
      <c r="BZ485" s="11"/>
      <c r="CA485" s="11"/>
      <c r="CB485" s="11"/>
      <c r="CC485" s="17"/>
      <c r="CD485" s="17"/>
      <c r="CE485" s="11"/>
      <c r="CF485" s="13"/>
      <c r="CG485" s="13"/>
      <c r="CH485" s="13"/>
      <c r="CI485" s="13"/>
      <c r="CJ485" s="13"/>
    </row>
    <row r="486" spans="1:88" s="9" customFormat="1" x14ac:dyDescent="0.25">
      <c r="A486" s="10"/>
      <c r="B486" s="10"/>
      <c r="C486" s="10"/>
      <c r="D486" s="10"/>
      <c r="E486" s="11"/>
      <c r="F486" s="10"/>
      <c r="G486" s="10"/>
      <c r="H486" s="10"/>
      <c r="I486" s="10"/>
      <c r="J486" s="10"/>
      <c r="K486" s="12"/>
      <c r="L486" s="10"/>
      <c r="M486" s="10"/>
      <c r="N486" s="13"/>
      <c r="O486" s="10"/>
      <c r="P486" s="10"/>
      <c r="Q486" s="10"/>
      <c r="R486" s="18"/>
      <c r="S486" s="10"/>
      <c r="T486" s="10"/>
      <c r="U486" s="13"/>
      <c r="V486" s="13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3"/>
      <c r="AL486" s="14"/>
      <c r="AM486" s="15"/>
      <c r="AN486" s="15"/>
      <c r="AO486" s="13"/>
      <c r="AP486" s="13"/>
      <c r="AQ486" s="16"/>
      <c r="AR486" s="10"/>
      <c r="AS486" s="10"/>
      <c r="AT486" s="10"/>
      <c r="AU486" s="10"/>
      <c r="AV486" s="11"/>
      <c r="AW486" s="11"/>
      <c r="AX486" s="10"/>
      <c r="AY486" s="11"/>
      <c r="AZ486" s="11"/>
      <c r="BA486" s="11"/>
      <c r="BB486" s="10"/>
      <c r="BC486" s="11"/>
      <c r="BD486" s="11"/>
      <c r="BE486" s="11"/>
      <c r="BF486" s="11"/>
      <c r="BG486" s="11"/>
      <c r="BH486" s="11"/>
      <c r="BI486" s="11"/>
      <c r="BJ486" s="11"/>
      <c r="BK486" s="11"/>
      <c r="BL486" s="11"/>
      <c r="BM486" s="11"/>
      <c r="BN486" s="11"/>
      <c r="BO486" s="11"/>
      <c r="BP486" s="11"/>
      <c r="BQ486" s="11"/>
      <c r="BR486" s="11"/>
      <c r="BS486" s="11"/>
      <c r="BT486" s="11"/>
      <c r="BU486" s="11"/>
      <c r="BV486" s="11"/>
      <c r="BW486" s="11"/>
      <c r="BX486" s="11"/>
      <c r="BY486" s="11"/>
      <c r="BZ486" s="11"/>
      <c r="CA486" s="11"/>
      <c r="CB486" s="11"/>
      <c r="CC486" s="17"/>
      <c r="CD486" s="17"/>
      <c r="CE486" s="11"/>
      <c r="CF486" s="13"/>
      <c r="CG486" s="13"/>
      <c r="CH486" s="13"/>
      <c r="CI486" s="13"/>
      <c r="CJ486" s="13"/>
    </row>
    <row r="487" spans="1:88" s="9" customFormat="1" x14ac:dyDescent="0.25">
      <c r="A487" s="10"/>
      <c r="B487" s="10"/>
      <c r="C487" s="10"/>
      <c r="D487" s="10"/>
      <c r="E487" s="11"/>
      <c r="F487" s="10"/>
      <c r="G487" s="10"/>
      <c r="H487" s="10"/>
      <c r="I487" s="10"/>
      <c r="J487" s="10"/>
      <c r="K487" s="12"/>
      <c r="L487" s="10"/>
      <c r="M487" s="10"/>
      <c r="N487" s="13"/>
      <c r="O487" s="10"/>
      <c r="P487" s="10"/>
      <c r="Q487" s="10"/>
      <c r="R487" s="18"/>
      <c r="S487" s="10"/>
      <c r="T487" s="10"/>
      <c r="U487" s="13"/>
      <c r="V487" s="13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3"/>
      <c r="AL487" s="14"/>
      <c r="AM487" s="15"/>
      <c r="AN487" s="15"/>
      <c r="AO487" s="13"/>
      <c r="AP487" s="13"/>
      <c r="AQ487" s="16"/>
      <c r="AR487" s="10"/>
      <c r="AS487" s="10"/>
      <c r="AT487" s="10"/>
      <c r="AU487" s="10"/>
      <c r="AV487" s="11"/>
      <c r="AW487" s="11"/>
      <c r="AX487" s="10"/>
      <c r="AY487" s="11"/>
      <c r="AZ487" s="11"/>
      <c r="BA487" s="11"/>
      <c r="BB487" s="10"/>
      <c r="BC487" s="11"/>
      <c r="BD487" s="11"/>
      <c r="BE487" s="11"/>
      <c r="BF487" s="11"/>
      <c r="BG487" s="11"/>
      <c r="BH487" s="11"/>
      <c r="BI487" s="11"/>
      <c r="BJ487" s="11"/>
      <c r="BK487" s="11"/>
      <c r="BL487" s="11"/>
      <c r="BM487" s="11"/>
      <c r="BN487" s="11"/>
      <c r="BO487" s="11"/>
      <c r="BP487" s="11"/>
      <c r="BQ487" s="11"/>
      <c r="BR487" s="11"/>
      <c r="BS487" s="11"/>
      <c r="BT487" s="11"/>
      <c r="BU487" s="11"/>
      <c r="BV487" s="11"/>
      <c r="BW487" s="11"/>
      <c r="BX487" s="11"/>
      <c r="BY487" s="11"/>
      <c r="BZ487" s="11"/>
      <c r="CA487" s="11"/>
      <c r="CB487" s="11"/>
      <c r="CC487" s="17"/>
      <c r="CD487" s="17"/>
      <c r="CE487" s="11"/>
      <c r="CF487" s="13"/>
      <c r="CG487" s="13"/>
      <c r="CH487" s="13"/>
      <c r="CI487" s="13"/>
      <c r="CJ487" s="13"/>
    </row>
    <row r="488" spans="1:88" s="9" customFormat="1" x14ac:dyDescent="0.25">
      <c r="A488" s="10"/>
      <c r="B488" s="10"/>
      <c r="C488" s="10"/>
      <c r="D488" s="10"/>
      <c r="E488" s="11"/>
      <c r="F488" s="10"/>
      <c r="G488" s="10"/>
      <c r="H488" s="10"/>
      <c r="I488" s="10"/>
      <c r="J488" s="10"/>
      <c r="K488" s="12"/>
      <c r="L488" s="10"/>
      <c r="M488" s="10"/>
      <c r="N488" s="13"/>
      <c r="O488" s="10"/>
      <c r="P488" s="10"/>
      <c r="Q488" s="10"/>
      <c r="R488" s="18"/>
      <c r="S488" s="10"/>
      <c r="T488" s="10"/>
      <c r="U488" s="13"/>
      <c r="V488" s="13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3"/>
      <c r="AL488" s="14"/>
      <c r="AM488" s="15"/>
      <c r="AN488" s="15"/>
      <c r="AO488" s="13"/>
      <c r="AP488" s="13"/>
      <c r="AQ488" s="16"/>
      <c r="AR488" s="10"/>
      <c r="AS488" s="10"/>
      <c r="AT488" s="10"/>
      <c r="AU488" s="10"/>
      <c r="AV488" s="11"/>
      <c r="AW488" s="11"/>
      <c r="AX488" s="10"/>
      <c r="AY488" s="11"/>
      <c r="AZ488" s="11"/>
      <c r="BA488" s="11"/>
      <c r="BB488" s="10"/>
      <c r="BC488" s="11"/>
      <c r="BD488" s="11"/>
      <c r="BE488" s="11"/>
      <c r="BF488" s="11"/>
      <c r="BG488" s="11"/>
      <c r="BH488" s="11"/>
      <c r="BI488" s="11"/>
      <c r="BJ488" s="11"/>
      <c r="BK488" s="11"/>
      <c r="BL488" s="11"/>
      <c r="BM488" s="11"/>
      <c r="BN488" s="11"/>
      <c r="BO488" s="11"/>
      <c r="BP488" s="11"/>
      <c r="BQ488" s="11"/>
      <c r="BR488" s="11"/>
      <c r="BS488" s="11"/>
      <c r="BT488" s="11"/>
      <c r="BU488" s="11"/>
      <c r="BV488" s="11"/>
      <c r="BW488" s="11"/>
      <c r="BX488" s="11"/>
      <c r="BY488" s="11"/>
      <c r="BZ488" s="11"/>
      <c r="CA488" s="11"/>
      <c r="CB488" s="11"/>
      <c r="CC488" s="17"/>
      <c r="CD488" s="17"/>
      <c r="CE488" s="11"/>
      <c r="CF488" s="13"/>
      <c r="CG488" s="13"/>
      <c r="CH488" s="13"/>
      <c r="CI488" s="13"/>
      <c r="CJ488" s="13"/>
    </row>
    <row r="489" spans="1:88" s="9" customFormat="1" x14ac:dyDescent="0.25">
      <c r="A489" s="10"/>
      <c r="B489" s="10"/>
      <c r="C489" s="10"/>
      <c r="D489" s="10"/>
      <c r="E489" s="11"/>
      <c r="F489" s="10"/>
      <c r="G489" s="10"/>
      <c r="H489" s="10"/>
      <c r="I489" s="10"/>
      <c r="J489" s="10"/>
      <c r="K489" s="12"/>
      <c r="L489" s="10"/>
      <c r="M489" s="10"/>
      <c r="N489" s="13"/>
      <c r="O489" s="10"/>
      <c r="P489" s="10"/>
      <c r="Q489" s="10"/>
      <c r="R489" s="18"/>
      <c r="S489" s="10"/>
      <c r="T489" s="10"/>
      <c r="U489" s="13"/>
      <c r="V489" s="13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3"/>
      <c r="AL489" s="14"/>
      <c r="AM489" s="15"/>
      <c r="AN489" s="15"/>
      <c r="AO489" s="13"/>
      <c r="AP489" s="13"/>
      <c r="AQ489" s="16"/>
      <c r="AR489" s="10"/>
      <c r="AS489" s="10"/>
      <c r="AT489" s="10"/>
      <c r="AU489" s="10"/>
      <c r="AV489" s="11"/>
      <c r="AW489" s="11"/>
      <c r="AX489" s="10"/>
      <c r="AY489" s="11"/>
      <c r="AZ489" s="11"/>
      <c r="BA489" s="11"/>
      <c r="BB489" s="10"/>
      <c r="BC489" s="11"/>
      <c r="BD489" s="11"/>
      <c r="BE489" s="11"/>
      <c r="BF489" s="11"/>
      <c r="BG489" s="11"/>
      <c r="BH489" s="11"/>
      <c r="BI489" s="11"/>
      <c r="BJ489" s="11"/>
      <c r="BK489" s="11"/>
      <c r="BL489" s="11"/>
      <c r="BM489" s="11"/>
      <c r="BN489" s="11"/>
      <c r="BO489" s="11"/>
      <c r="BP489" s="11"/>
      <c r="BQ489" s="11"/>
      <c r="BR489" s="11"/>
      <c r="BS489" s="11"/>
      <c r="BT489" s="11"/>
      <c r="BU489" s="11"/>
      <c r="BV489" s="11"/>
      <c r="BW489" s="11"/>
      <c r="BX489" s="11"/>
      <c r="BY489" s="11"/>
      <c r="BZ489" s="11"/>
      <c r="CA489" s="11"/>
      <c r="CB489" s="11"/>
      <c r="CC489" s="17"/>
      <c r="CD489" s="17"/>
      <c r="CE489" s="11"/>
      <c r="CF489" s="13"/>
      <c r="CG489" s="13"/>
      <c r="CH489" s="13"/>
      <c r="CI489" s="13"/>
      <c r="CJ489" s="13"/>
    </row>
    <row r="490" spans="1:88" s="9" customFormat="1" x14ac:dyDescent="0.25">
      <c r="A490" s="10"/>
      <c r="B490" s="10"/>
      <c r="C490" s="10"/>
      <c r="D490" s="10"/>
      <c r="E490" s="11"/>
      <c r="F490" s="10"/>
      <c r="G490" s="10"/>
      <c r="H490" s="10"/>
      <c r="I490" s="10"/>
      <c r="J490" s="10"/>
      <c r="K490" s="12"/>
      <c r="L490" s="10"/>
      <c r="M490" s="10"/>
      <c r="N490" s="13"/>
      <c r="O490" s="10"/>
      <c r="P490" s="10"/>
      <c r="Q490" s="10"/>
      <c r="R490" s="18"/>
      <c r="S490" s="10"/>
      <c r="T490" s="10"/>
      <c r="U490" s="13"/>
      <c r="V490" s="13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3"/>
      <c r="AL490" s="14"/>
      <c r="AM490" s="15"/>
      <c r="AN490" s="15"/>
      <c r="AO490" s="13"/>
      <c r="AP490" s="13"/>
      <c r="AQ490" s="16"/>
      <c r="AR490" s="10"/>
      <c r="AS490" s="10"/>
      <c r="AT490" s="10"/>
      <c r="AU490" s="10"/>
      <c r="AV490" s="11"/>
      <c r="AW490" s="11"/>
      <c r="AX490" s="10"/>
      <c r="AY490" s="11"/>
      <c r="AZ490" s="11"/>
      <c r="BA490" s="11"/>
      <c r="BB490" s="10"/>
      <c r="BC490" s="11"/>
      <c r="BD490" s="11"/>
      <c r="BE490" s="11"/>
      <c r="BF490" s="11"/>
      <c r="BG490" s="11"/>
      <c r="BH490" s="11"/>
      <c r="BI490" s="11"/>
      <c r="BJ490" s="11"/>
      <c r="BK490" s="11"/>
      <c r="BL490" s="11"/>
      <c r="BM490" s="11"/>
      <c r="BN490" s="11"/>
      <c r="BO490" s="11"/>
      <c r="BP490" s="11"/>
      <c r="BQ490" s="11"/>
      <c r="BR490" s="11"/>
      <c r="BS490" s="11"/>
      <c r="BT490" s="11"/>
      <c r="BU490" s="11"/>
      <c r="BV490" s="11"/>
      <c r="BW490" s="11"/>
      <c r="BX490" s="11"/>
      <c r="BY490" s="11"/>
      <c r="BZ490" s="11"/>
      <c r="CA490" s="11"/>
      <c r="CB490" s="11"/>
      <c r="CC490" s="17"/>
      <c r="CD490" s="17"/>
      <c r="CE490" s="11"/>
      <c r="CF490" s="13"/>
      <c r="CG490" s="13"/>
      <c r="CH490" s="13"/>
      <c r="CI490" s="13"/>
      <c r="CJ490" s="13"/>
    </row>
    <row r="491" spans="1:88" s="9" customFormat="1" x14ac:dyDescent="0.25">
      <c r="A491" s="10"/>
      <c r="B491" s="10"/>
      <c r="C491" s="10"/>
      <c r="D491" s="10"/>
      <c r="E491" s="11"/>
      <c r="F491" s="10"/>
      <c r="G491" s="10"/>
      <c r="H491" s="10"/>
      <c r="I491" s="10"/>
      <c r="J491" s="10"/>
      <c r="K491" s="12"/>
      <c r="L491" s="10"/>
      <c r="M491" s="10"/>
      <c r="N491" s="13"/>
      <c r="O491" s="10"/>
      <c r="P491" s="10"/>
      <c r="Q491" s="10"/>
      <c r="R491" s="18"/>
      <c r="S491" s="10"/>
      <c r="T491" s="10"/>
      <c r="U491" s="13"/>
      <c r="V491" s="13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3"/>
      <c r="AL491" s="14"/>
      <c r="AM491" s="15"/>
      <c r="AN491" s="15"/>
      <c r="AO491" s="13"/>
      <c r="AP491" s="13"/>
      <c r="AQ491" s="16"/>
      <c r="AR491" s="10"/>
      <c r="AS491" s="10"/>
      <c r="AT491" s="10"/>
      <c r="AU491" s="10"/>
      <c r="AV491" s="11"/>
      <c r="AW491" s="11"/>
      <c r="AX491" s="10"/>
      <c r="AY491" s="11"/>
      <c r="AZ491" s="11"/>
      <c r="BA491" s="11"/>
      <c r="BB491" s="10"/>
      <c r="BC491" s="11"/>
      <c r="BD491" s="11"/>
      <c r="BE491" s="11"/>
      <c r="BF491" s="11"/>
      <c r="BG491" s="11"/>
      <c r="BH491" s="11"/>
      <c r="BI491" s="11"/>
      <c r="BJ491" s="11"/>
      <c r="BK491" s="11"/>
      <c r="BL491" s="11"/>
      <c r="BM491" s="11"/>
      <c r="BN491" s="11"/>
      <c r="BO491" s="11"/>
      <c r="BP491" s="11"/>
      <c r="BQ491" s="11"/>
      <c r="BR491" s="11"/>
      <c r="BS491" s="11"/>
      <c r="BT491" s="11"/>
      <c r="BU491" s="11"/>
      <c r="BV491" s="11"/>
      <c r="BW491" s="11"/>
      <c r="BX491" s="11"/>
      <c r="BY491" s="11"/>
      <c r="BZ491" s="11"/>
      <c r="CA491" s="11"/>
      <c r="CB491" s="11"/>
      <c r="CC491" s="17"/>
      <c r="CD491" s="17"/>
      <c r="CE491" s="11"/>
      <c r="CF491" s="13"/>
      <c r="CG491" s="13"/>
      <c r="CH491" s="13"/>
      <c r="CI491" s="13"/>
      <c r="CJ491" s="13"/>
    </row>
    <row r="492" spans="1:88" s="9" customFormat="1" x14ac:dyDescent="0.25">
      <c r="A492" s="10"/>
      <c r="B492" s="10"/>
      <c r="C492" s="10"/>
      <c r="D492" s="10"/>
      <c r="E492" s="11"/>
      <c r="F492" s="10"/>
      <c r="G492" s="10"/>
      <c r="H492" s="10"/>
      <c r="I492" s="10"/>
      <c r="J492" s="10"/>
      <c r="K492" s="12"/>
      <c r="L492" s="10"/>
      <c r="M492" s="10"/>
      <c r="N492" s="13"/>
      <c r="O492" s="10"/>
      <c r="P492" s="10"/>
      <c r="Q492" s="10"/>
      <c r="R492" s="18"/>
      <c r="S492" s="10"/>
      <c r="T492" s="10"/>
      <c r="U492" s="13"/>
      <c r="V492" s="13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3"/>
      <c r="AL492" s="14"/>
      <c r="AM492" s="15"/>
      <c r="AN492" s="15"/>
      <c r="AO492" s="13"/>
      <c r="AP492" s="13"/>
      <c r="AQ492" s="16"/>
      <c r="AR492" s="10"/>
      <c r="AS492" s="10"/>
      <c r="AT492" s="10"/>
      <c r="AU492" s="10"/>
      <c r="AV492" s="11"/>
      <c r="AW492" s="11"/>
      <c r="AX492" s="10"/>
      <c r="AY492" s="11"/>
      <c r="AZ492" s="11"/>
      <c r="BA492" s="11"/>
      <c r="BB492" s="10"/>
      <c r="BC492" s="11"/>
      <c r="BD492" s="11"/>
      <c r="BE492" s="11"/>
      <c r="BF492" s="11"/>
      <c r="BG492" s="11"/>
      <c r="BH492" s="11"/>
      <c r="BI492" s="11"/>
      <c r="BJ492" s="11"/>
      <c r="BK492" s="11"/>
      <c r="BL492" s="11"/>
      <c r="BM492" s="11"/>
      <c r="BN492" s="11"/>
      <c r="BO492" s="11"/>
      <c r="BP492" s="11"/>
      <c r="BQ492" s="11"/>
      <c r="BR492" s="11"/>
      <c r="BS492" s="11"/>
      <c r="BT492" s="11"/>
      <c r="BU492" s="11"/>
      <c r="BV492" s="11"/>
      <c r="BW492" s="11"/>
      <c r="BX492" s="11"/>
      <c r="BY492" s="11"/>
      <c r="BZ492" s="11"/>
      <c r="CA492" s="11"/>
      <c r="CB492" s="11"/>
      <c r="CC492" s="17"/>
      <c r="CD492" s="17"/>
      <c r="CE492" s="11"/>
      <c r="CF492" s="13"/>
      <c r="CG492" s="13"/>
      <c r="CH492" s="13"/>
      <c r="CI492" s="13"/>
      <c r="CJ492" s="13"/>
    </row>
    <row r="493" spans="1:88" s="9" customFormat="1" x14ac:dyDescent="0.25">
      <c r="A493" s="10"/>
      <c r="B493" s="10"/>
      <c r="C493" s="10"/>
      <c r="D493" s="10"/>
      <c r="E493" s="11"/>
      <c r="F493" s="10"/>
      <c r="G493" s="10"/>
      <c r="H493" s="10"/>
      <c r="I493" s="10"/>
      <c r="J493" s="10"/>
      <c r="K493" s="12"/>
      <c r="L493" s="10"/>
      <c r="M493" s="10"/>
      <c r="N493" s="13"/>
      <c r="O493" s="10"/>
      <c r="P493" s="10"/>
      <c r="Q493" s="10"/>
      <c r="R493" s="18"/>
      <c r="S493" s="10"/>
      <c r="T493" s="10"/>
      <c r="U493" s="13"/>
      <c r="V493" s="13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3"/>
      <c r="AL493" s="14"/>
      <c r="AM493" s="15"/>
      <c r="AN493" s="15"/>
      <c r="AO493" s="13"/>
      <c r="AP493" s="13"/>
      <c r="AQ493" s="16"/>
      <c r="AR493" s="10"/>
      <c r="AS493" s="10"/>
      <c r="AT493" s="10"/>
      <c r="AU493" s="10"/>
      <c r="AV493" s="11"/>
      <c r="AW493" s="11"/>
      <c r="AX493" s="10"/>
      <c r="AY493" s="11"/>
      <c r="AZ493" s="11"/>
      <c r="BA493" s="11"/>
      <c r="BB493" s="10"/>
      <c r="BC493" s="11"/>
      <c r="BD493" s="11"/>
      <c r="BE493" s="11"/>
      <c r="BF493" s="11"/>
      <c r="BG493" s="11"/>
      <c r="BH493" s="11"/>
      <c r="BI493" s="11"/>
      <c r="BJ493" s="11"/>
      <c r="BK493" s="11"/>
      <c r="BL493" s="11"/>
      <c r="BM493" s="11"/>
      <c r="BN493" s="11"/>
      <c r="BO493" s="11"/>
      <c r="BP493" s="11"/>
      <c r="BQ493" s="11"/>
      <c r="BR493" s="11"/>
      <c r="BS493" s="11"/>
      <c r="BT493" s="11"/>
      <c r="BU493" s="11"/>
      <c r="BV493" s="11"/>
      <c r="BW493" s="11"/>
      <c r="BX493" s="11"/>
      <c r="BY493" s="11"/>
      <c r="BZ493" s="11"/>
      <c r="CA493" s="11"/>
      <c r="CB493" s="11"/>
      <c r="CC493" s="17"/>
      <c r="CD493" s="17"/>
      <c r="CE493" s="11"/>
      <c r="CF493" s="13"/>
      <c r="CG493" s="13"/>
      <c r="CH493" s="13"/>
      <c r="CI493" s="13"/>
      <c r="CJ493" s="13"/>
    </row>
    <row r="494" spans="1:88" s="9" customFormat="1" x14ac:dyDescent="0.25">
      <c r="A494" s="10"/>
      <c r="B494" s="10"/>
      <c r="C494" s="10"/>
      <c r="D494" s="10"/>
      <c r="E494" s="11"/>
      <c r="F494" s="10"/>
      <c r="G494" s="10"/>
      <c r="H494" s="10"/>
      <c r="I494" s="10"/>
      <c r="J494" s="10"/>
      <c r="K494" s="12"/>
      <c r="L494" s="10"/>
      <c r="M494" s="10"/>
      <c r="N494" s="13"/>
      <c r="O494" s="10"/>
      <c r="P494" s="10"/>
      <c r="Q494" s="10"/>
      <c r="R494" s="18"/>
      <c r="S494" s="10"/>
      <c r="T494" s="10"/>
      <c r="U494" s="13"/>
      <c r="V494" s="13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3"/>
      <c r="AL494" s="14"/>
      <c r="AM494" s="15"/>
      <c r="AN494" s="15"/>
      <c r="AO494" s="13"/>
      <c r="AP494" s="13"/>
      <c r="AQ494" s="16"/>
      <c r="AR494" s="10"/>
      <c r="AS494" s="10"/>
      <c r="AT494" s="10"/>
      <c r="AU494" s="10"/>
      <c r="AV494" s="11"/>
      <c r="AW494" s="11"/>
      <c r="AX494" s="10"/>
      <c r="AY494" s="11"/>
      <c r="AZ494" s="11"/>
      <c r="BA494" s="11"/>
      <c r="BB494" s="10"/>
      <c r="BC494" s="11"/>
      <c r="BD494" s="11"/>
      <c r="BE494" s="11"/>
      <c r="BF494" s="11"/>
      <c r="BG494" s="11"/>
      <c r="BH494" s="11"/>
      <c r="BI494" s="11"/>
      <c r="BJ494" s="11"/>
      <c r="BK494" s="11"/>
      <c r="BL494" s="11"/>
      <c r="BM494" s="11"/>
      <c r="BN494" s="11"/>
      <c r="BO494" s="11"/>
      <c r="BP494" s="11"/>
      <c r="BQ494" s="11"/>
      <c r="BR494" s="11"/>
      <c r="BS494" s="11"/>
      <c r="BT494" s="11"/>
      <c r="BU494" s="11"/>
      <c r="BV494" s="11"/>
      <c r="BW494" s="11"/>
      <c r="BX494" s="11"/>
      <c r="BY494" s="11"/>
      <c r="BZ494" s="11"/>
      <c r="CA494" s="11"/>
      <c r="CB494" s="11"/>
      <c r="CC494" s="17"/>
      <c r="CD494" s="17"/>
      <c r="CE494" s="11"/>
      <c r="CF494" s="13"/>
      <c r="CG494" s="13"/>
      <c r="CH494" s="13"/>
      <c r="CI494" s="13"/>
      <c r="CJ494" s="13"/>
    </row>
    <row r="495" spans="1:88" s="9" customFormat="1" x14ac:dyDescent="0.25">
      <c r="A495" s="10"/>
      <c r="B495" s="10"/>
      <c r="C495" s="10"/>
      <c r="D495" s="10"/>
      <c r="E495" s="11"/>
      <c r="F495" s="10"/>
      <c r="G495" s="10"/>
      <c r="H495" s="10"/>
      <c r="I495" s="10"/>
      <c r="J495" s="10"/>
      <c r="K495" s="12"/>
      <c r="L495" s="10"/>
      <c r="M495" s="10"/>
      <c r="N495" s="13"/>
      <c r="O495" s="10"/>
      <c r="P495" s="10"/>
      <c r="Q495" s="10"/>
      <c r="R495" s="18"/>
      <c r="S495" s="10"/>
      <c r="T495" s="10"/>
      <c r="U495" s="13"/>
      <c r="V495" s="13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3"/>
      <c r="AL495" s="14"/>
      <c r="AM495" s="15"/>
      <c r="AN495" s="15"/>
      <c r="AO495" s="13"/>
      <c r="AP495" s="13"/>
      <c r="AQ495" s="16"/>
      <c r="AR495" s="10"/>
      <c r="AS495" s="10"/>
      <c r="AT495" s="10"/>
      <c r="AU495" s="10"/>
      <c r="AV495" s="11"/>
      <c r="AW495" s="11"/>
      <c r="AX495" s="10"/>
      <c r="AY495" s="11"/>
      <c r="AZ495" s="11"/>
      <c r="BA495" s="11"/>
      <c r="BB495" s="10"/>
      <c r="BC495" s="11"/>
      <c r="BD495" s="11"/>
      <c r="BE495" s="11"/>
      <c r="BF495" s="11"/>
      <c r="BG495" s="11"/>
      <c r="BH495" s="11"/>
      <c r="BI495" s="11"/>
      <c r="BJ495" s="11"/>
      <c r="BK495" s="11"/>
      <c r="BL495" s="11"/>
      <c r="BM495" s="11"/>
      <c r="BN495" s="11"/>
      <c r="BO495" s="11"/>
      <c r="BP495" s="11"/>
      <c r="BQ495" s="11"/>
      <c r="BR495" s="11"/>
      <c r="BS495" s="11"/>
      <c r="BT495" s="11"/>
      <c r="BU495" s="11"/>
      <c r="BV495" s="11"/>
      <c r="BW495" s="11"/>
      <c r="BX495" s="11"/>
      <c r="BY495" s="11"/>
      <c r="BZ495" s="11"/>
      <c r="CA495" s="11"/>
      <c r="CB495" s="11"/>
      <c r="CC495" s="17"/>
      <c r="CD495" s="17"/>
      <c r="CE495" s="11"/>
      <c r="CF495" s="13"/>
      <c r="CG495" s="13"/>
      <c r="CH495" s="13"/>
      <c r="CI495" s="13"/>
      <c r="CJ495" s="13"/>
    </row>
    <row r="496" spans="1:88" s="9" customFormat="1" x14ac:dyDescent="0.25">
      <c r="A496" s="10"/>
      <c r="B496" s="10"/>
      <c r="C496" s="10"/>
      <c r="D496" s="10"/>
      <c r="E496" s="11"/>
      <c r="F496" s="10"/>
      <c r="G496" s="10"/>
      <c r="H496" s="10"/>
      <c r="I496" s="10"/>
      <c r="J496" s="10"/>
      <c r="K496" s="12"/>
      <c r="L496" s="10"/>
      <c r="M496" s="10"/>
      <c r="N496" s="13"/>
      <c r="O496" s="10"/>
      <c r="P496" s="10"/>
      <c r="Q496" s="10"/>
      <c r="R496" s="18"/>
      <c r="S496" s="10"/>
      <c r="T496" s="10"/>
      <c r="U496" s="13"/>
      <c r="V496" s="13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3"/>
      <c r="AL496" s="14"/>
      <c r="AM496" s="15"/>
      <c r="AN496" s="15"/>
      <c r="AO496" s="13"/>
      <c r="AP496" s="13"/>
      <c r="AQ496" s="16"/>
      <c r="AR496" s="10"/>
      <c r="AS496" s="10"/>
      <c r="AT496" s="10"/>
      <c r="AU496" s="10"/>
      <c r="AV496" s="11"/>
      <c r="AW496" s="11"/>
      <c r="AX496" s="10"/>
      <c r="AY496" s="11"/>
      <c r="AZ496" s="11"/>
      <c r="BA496" s="11"/>
      <c r="BB496" s="10"/>
      <c r="BC496" s="11"/>
      <c r="BD496" s="11"/>
      <c r="BE496" s="11"/>
      <c r="BF496" s="11"/>
      <c r="BG496" s="11"/>
      <c r="BH496" s="11"/>
      <c r="BI496" s="11"/>
      <c r="BJ496" s="11"/>
      <c r="BK496" s="11"/>
      <c r="BL496" s="11"/>
      <c r="BM496" s="11"/>
      <c r="BN496" s="11"/>
      <c r="BO496" s="11"/>
      <c r="BP496" s="11"/>
      <c r="BQ496" s="11"/>
      <c r="BR496" s="11"/>
      <c r="BS496" s="11"/>
      <c r="BT496" s="11"/>
      <c r="BU496" s="11"/>
      <c r="BV496" s="11"/>
      <c r="BW496" s="11"/>
      <c r="BX496" s="11"/>
      <c r="BY496" s="11"/>
      <c r="BZ496" s="11"/>
      <c r="CA496" s="11"/>
      <c r="CB496" s="11"/>
      <c r="CC496" s="17"/>
      <c r="CD496" s="17"/>
      <c r="CE496" s="11"/>
      <c r="CF496" s="13"/>
      <c r="CG496" s="13"/>
      <c r="CH496" s="13"/>
      <c r="CI496" s="13"/>
      <c r="CJ496" s="13"/>
    </row>
    <row r="497" spans="1:88" s="9" customFormat="1" x14ac:dyDescent="0.25">
      <c r="A497" s="10"/>
      <c r="B497" s="10"/>
      <c r="C497" s="10"/>
      <c r="D497" s="10"/>
      <c r="E497" s="11"/>
      <c r="F497" s="10"/>
      <c r="G497" s="10"/>
      <c r="H497" s="10"/>
      <c r="I497" s="10"/>
      <c r="J497" s="10"/>
      <c r="K497" s="12"/>
      <c r="L497" s="10"/>
      <c r="M497" s="10"/>
      <c r="N497" s="13"/>
      <c r="O497" s="10"/>
      <c r="P497" s="10"/>
      <c r="Q497" s="10"/>
      <c r="R497" s="18"/>
      <c r="S497" s="10"/>
      <c r="T497" s="10"/>
      <c r="U497" s="13"/>
      <c r="V497" s="13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3"/>
      <c r="AL497" s="14"/>
      <c r="AM497" s="15"/>
      <c r="AN497" s="15"/>
      <c r="AO497" s="13"/>
      <c r="AP497" s="13"/>
      <c r="AQ497" s="16"/>
      <c r="AR497" s="10"/>
      <c r="AS497" s="10"/>
      <c r="AT497" s="10"/>
      <c r="AU497" s="10"/>
      <c r="AV497" s="11"/>
      <c r="AW497" s="11"/>
      <c r="AX497" s="10"/>
      <c r="AY497" s="11"/>
      <c r="AZ497" s="11"/>
      <c r="BA497" s="11"/>
      <c r="BB497" s="10"/>
      <c r="BC497" s="11"/>
      <c r="BD497" s="11"/>
      <c r="BE497" s="11"/>
      <c r="BF497" s="11"/>
      <c r="BG497" s="11"/>
      <c r="BH497" s="11"/>
      <c r="BI497" s="11"/>
      <c r="BJ497" s="11"/>
      <c r="BK497" s="11"/>
      <c r="BL497" s="11"/>
      <c r="BM497" s="11"/>
      <c r="BN497" s="11"/>
      <c r="BO497" s="11"/>
      <c r="BP497" s="11"/>
      <c r="BQ497" s="11"/>
      <c r="BR497" s="11"/>
      <c r="BS497" s="11"/>
      <c r="BT497" s="11"/>
      <c r="BU497" s="11"/>
      <c r="BV497" s="11"/>
      <c r="BW497" s="11"/>
      <c r="BX497" s="11"/>
      <c r="BY497" s="11"/>
      <c r="BZ497" s="11"/>
      <c r="CA497" s="11"/>
      <c r="CB497" s="11"/>
      <c r="CC497" s="17"/>
      <c r="CD497" s="17"/>
      <c r="CE497" s="11"/>
      <c r="CF497" s="13"/>
      <c r="CG497" s="13"/>
      <c r="CH497" s="13"/>
      <c r="CI497" s="13"/>
      <c r="CJ497" s="13"/>
    </row>
    <row r="498" spans="1:88" s="9" customFormat="1" x14ac:dyDescent="0.25">
      <c r="A498" s="10"/>
      <c r="B498" s="10"/>
      <c r="C498" s="10"/>
      <c r="D498" s="10"/>
      <c r="E498" s="11"/>
      <c r="F498" s="10"/>
      <c r="G498" s="10"/>
      <c r="H498" s="10"/>
      <c r="I498" s="10"/>
      <c r="J498" s="10"/>
      <c r="K498" s="12"/>
      <c r="L498" s="10"/>
      <c r="M498" s="10"/>
      <c r="N498" s="13"/>
      <c r="O498" s="10"/>
      <c r="P498" s="10"/>
      <c r="Q498" s="10"/>
      <c r="R498" s="18"/>
      <c r="S498" s="10"/>
      <c r="T498" s="10"/>
      <c r="U498" s="13"/>
      <c r="V498" s="13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3"/>
      <c r="AL498" s="14"/>
      <c r="AM498" s="15"/>
      <c r="AN498" s="15"/>
      <c r="AO498" s="13"/>
      <c r="AP498" s="13"/>
      <c r="AQ498" s="16"/>
      <c r="AR498" s="10"/>
      <c r="AS498" s="10"/>
      <c r="AT498" s="10"/>
      <c r="AU498" s="10"/>
      <c r="AV498" s="11"/>
      <c r="AW498" s="11"/>
      <c r="AX498" s="10"/>
      <c r="AY498" s="11"/>
      <c r="AZ498" s="11"/>
      <c r="BA498" s="11"/>
      <c r="BB498" s="10"/>
      <c r="BC498" s="11"/>
      <c r="BD498" s="11"/>
      <c r="BE498" s="11"/>
      <c r="BF498" s="11"/>
      <c r="BG498" s="11"/>
      <c r="BH498" s="11"/>
      <c r="BI498" s="11"/>
      <c r="BJ498" s="11"/>
      <c r="BK498" s="11"/>
      <c r="BL498" s="11"/>
      <c r="BM498" s="11"/>
      <c r="BN498" s="11"/>
      <c r="BO498" s="11"/>
      <c r="BP498" s="11"/>
      <c r="BQ498" s="11"/>
      <c r="BR498" s="11"/>
      <c r="BS498" s="11"/>
      <c r="BT498" s="11"/>
      <c r="BU498" s="11"/>
      <c r="BV498" s="11"/>
      <c r="BW498" s="11"/>
      <c r="BX498" s="11"/>
      <c r="BY498" s="11"/>
      <c r="BZ498" s="11"/>
      <c r="CA498" s="11"/>
      <c r="CB498" s="11"/>
      <c r="CC498" s="17"/>
      <c r="CD498" s="17"/>
      <c r="CE498" s="11"/>
      <c r="CF498" s="13"/>
      <c r="CG498" s="13"/>
      <c r="CH498" s="13"/>
      <c r="CI498" s="13"/>
      <c r="CJ498" s="13"/>
    </row>
    <row r="499" spans="1:88" s="9" customFormat="1" x14ac:dyDescent="0.25">
      <c r="A499" s="10"/>
      <c r="B499" s="10"/>
      <c r="C499" s="10"/>
      <c r="D499" s="10"/>
      <c r="E499" s="11"/>
      <c r="F499" s="10"/>
      <c r="G499" s="10"/>
      <c r="H499" s="10"/>
      <c r="I499" s="10"/>
      <c r="J499" s="10"/>
      <c r="K499" s="12"/>
      <c r="L499" s="10"/>
      <c r="M499" s="10"/>
      <c r="N499" s="13"/>
      <c r="O499" s="10"/>
      <c r="P499" s="10"/>
      <c r="Q499" s="10"/>
      <c r="R499" s="18"/>
      <c r="S499" s="10"/>
      <c r="T499" s="10"/>
      <c r="U499" s="13"/>
      <c r="V499" s="13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3"/>
      <c r="AL499" s="14"/>
      <c r="AM499" s="15"/>
      <c r="AN499" s="15"/>
      <c r="AO499" s="13"/>
      <c r="AP499" s="13"/>
      <c r="AQ499" s="16"/>
      <c r="AR499" s="10"/>
      <c r="AS499" s="10"/>
      <c r="AT499" s="10"/>
      <c r="AU499" s="10"/>
      <c r="AV499" s="11"/>
      <c r="AW499" s="11"/>
      <c r="AX499" s="10"/>
      <c r="AY499" s="11"/>
      <c r="AZ499" s="11"/>
      <c r="BA499" s="11"/>
      <c r="BB499" s="10"/>
      <c r="BC499" s="11"/>
      <c r="BD499" s="11"/>
      <c r="BE499" s="11"/>
      <c r="BF499" s="11"/>
      <c r="BG499" s="11"/>
      <c r="BH499" s="11"/>
      <c r="BI499" s="11"/>
      <c r="BJ499" s="11"/>
      <c r="BK499" s="11"/>
      <c r="BL499" s="11"/>
      <c r="BM499" s="11"/>
      <c r="BN499" s="11"/>
      <c r="BO499" s="11"/>
      <c r="BP499" s="11"/>
      <c r="BQ499" s="11"/>
      <c r="BR499" s="11"/>
      <c r="BS499" s="11"/>
      <c r="BT499" s="11"/>
      <c r="BU499" s="11"/>
      <c r="BV499" s="11"/>
      <c r="BW499" s="11"/>
      <c r="BX499" s="11"/>
      <c r="BY499" s="11"/>
      <c r="BZ499" s="11"/>
      <c r="CA499" s="11"/>
      <c r="CB499" s="11"/>
      <c r="CC499" s="17"/>
      <c r="CD499" s="17"/>
      <c r="CE499" s="11"/>
      <c r="CF499" s="13"/>
      <c r="CG499" s="13"/>
      <c r="CH499" s="13"/>
      <c r="CI499" s="13"/>
      <c r="CJ499" s="13"/>
    </row>
    <row r="500" spans="1:88" s="9" customFormat="1" x14ac:dyDescent="0.25">
      <c r="A500" s="10"/>
      <c r="B500" s="10"/>
      <c r="C500" s="10"/>
      <c r="D500" s="10"/>
      <c r="E500" s="11"/>
      <c r="F500" s="10"/>
      <c r="G500" s="10"/>
      <c r="H500" s="10"/>
      <c r="I500" s="10"/>
      <c r="J500" s="10"/>
      <c r="K500" s="12"/>
      <c r="L500" s="10"/>
      <c r="M500" s="10"/>
      <c r="N500" s="13"/>
      <c r="O500" s="10"/>
      <c r="P500" s="10"/>
      <c r="Q500" s="10"/>
      <c r="R500" s="18"/>
      <c r="S500" s="10"/>
      <c r="T500" s="10"/>
      <c r="U500" s="13"/>
      <c r="V500" s="13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3"/>
      <c r="AL500" s="14"/>
      <c r="AM500" s="15"/>
      <c r="AN500" s="15"/>
      <c r="AO500" s="13"/>
      <c r="AP500" s="13"/>
      <c r="AQ500" s="16"/>
      <c r="AR500" s="10"/>
      <c r="AS500" s="10"/>
      <c r="AT500" s="10"/>
      <c r="AU500" s="10"/>
      <c r="AV500" s="11"/>
      <c r="AW500" s="11"/>
      <c r="AX500" s="10"/>
      <c r="AY500" s="11"/>
      <c r="AZ500" s="11"/>
      <c r="BA500" s="11"/>
      <c r="BB500" s="10"/>
      <c r="BC500" s="11"/>
      <c r="BD500" s="11"/>
      <c r="BE500" s="11"/>
      <c r="BF500" s="11"/>
      <c r="BG500" s="11"/>
      <c r="BH500" s="11"/>
      <c r="BI500" s="11"/>
      <c r="BJ500" s="11"/>
      <c r="BK500" s="11"/>
      <c r="BL500" s="11"/>
      <c r="BM500" s="11"/>
      <c r="BN500" s="11"/>
      <c r="BO500" s="11"/>
      <c r="BP500" s="11"/>
      <c r="BQ500" s="11"/>
      <c r="BR500" s="11"/>
      <c r="BS500" s="11"/>
      <c r="BT500" s="11"/>
      <c r="BU500" s="11"/>
      <c r="BV500" s="11"/>
      <c r="BW500" s="11"/>
      <c r="BX500" s="11"/>
      <c r="BY500" s="11"/>
      <c r="BZ500" s="11"/>
      <c r="CA500" s="11"/>
      <c r="CB500" s="11"/>
      <c r="CC500" s="17"/>
      <c r="CD500" s="17"/>
      <c r="CE500" s="11"/>
      <c r="CF500" s="13"/>
      <c r="CG500" s="13"/>
      <c r="CH500" s="13"/>
      <c r="CI500" s="13"/>
      <c r="CJ500" s="13"/>
    </row>
    <row r="501" spans="1:88" s="9" customFormat="1" x14ac:dyDescent="0.25">
      <c r="A501" s="10"/>
      <c r="B501" s="10"/>
      <c r="C501" s="10"/>
      <c r="D501" s="10"/>
      <c r="E501" s="11"/>
      <c r="F501" s="10"/>
      <c r="G501" s="10"/>
      <c r="H501" s="10"/>
      <c r="I501" s="10"/>
      <c r="J501" s="10"/>
      <c r="K501" s="12"/>
      <c r="L501" s="10"/>
      <c r="M501" s="10"/>
      <c r="N501" s="13"/>
      <c r="O501" s="10"/>
      <c r="P501" s="10"/>
      <c r="Q501" s="10"/>
      <c r="R501" s="18"/>
      <c r="S501" s="10"/>
      <c r="T501" s="10"/>
      <c r="U501" s="13"/>
      <c r="V501" s="13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3"/>
      <c r="AL501" s="14"/>
      <c r="AM501" s="15"/>
      <c r="AN501" s="15"/>
      <c r="AO501" s="13"/>
      <c r="AP501" s="13"/>
      <c r="AQ501" s="16"/>
      <c r="AR501" s="10"/>
      <c r="AS501" s="10"/>
      <c r="AT501" s="10"/>
      <c r="AU501" s="10"/>
      <c r="AV501" s="11"/>
      <c r="AW501" s="11"/>
      <c r="AX501" s="10"/>
      <c r="AY501" s="11"/>
      <c r="AZ501" s="11"/>
      <c r="BA501" s="11"/>
      <c r="BB501" s="10"/>
      <c r="BC501" s="11"/>
      <c r="BD501" s="11"/>
      <c r="BE501" s="11"/>
      <c r="BF501" s="11"/>
      <c r="BG501" s="11"/>
      <c r="BH501" s="11"/>
      <c r="BI501" s="11"/>
      <c r="BJ501" s="11"/>
      <c r="BK501" s="11"/>
      <c r="BL501" s="11"/>
      <c r="BM501" s="11"/>
      <c r="BN501" s="11"/>
      <c r="BO501" s="11"/>
      <c r="BP501" s="11"/>
      <c r="BQ501" s="11"/>
      <c r="BR501" s="11"/>
      <c r="BS501" s="11"/>
      <c r="BT501" s="11"/>
      <c r="BU501" s="11"/>
      <c r="BV501" s="11"/>
      <c r="BW501" s="11"/>
      <c r="BX501" s="11"/>
      <c r="BY501" s="11"/>
      <c r="BZ501" s="11"/>
      <c r="CA501" s="11"/>
      <c r="CB501" s="11"/>
      <c r="CC501" s="17"/>
      <c r="CD501" s="17"/>
      <c r="CE501" s="11"/>
      <c r="CF501" s="13"/>
      <c r="CG501" s="13"/>
      <c r="CH501" s="13"/>
      <c r="CI501" s="13"/>
      <c r="CJ501" s="13"/>
    </row>
    <row r="502" spans="1:88" s="9" customFormat="1" x14ac:dyDescent="0.25">
      <c r="A502" s="10"/>
      <c r="B502" s="10"/>
      <c r="C502" s="10"/>
      <c r="D502" s="10"/>
      <c r="E502" s="11"/>
      <c r="F502" s="10"/>
      <c r="G502" s="10"/>
      <c r="H502" s="10"/>
      <c r="I502" s="10"/>
      <c r="J502" s="10"/>
      <c r="K502" s="12"/>
      <c r="L502" s="10"/>
      <c r="M502" s="10"/>
      <c r="N502" s="13"/>
      <c r="O502" s="10"/>
      <c r="P502" s="10"/>
      <c r="Q502" s="10"/>
      <c r="R502" s="18"/>
      <c r="S502" s="10"/>
      <c r="T502" s="10"/>
      <c r="U502" s="13"/>
      <c r="V502" s="13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3"/>
      <c r="AL502" s="14"/>
      <c r="AM502" s="15"/>
      <c r="AN502" s="15"/>
      <c r="AO502" s="13"/>
      <c r="AP502" s="13"/>
      <c r="AQ502" s="16"/>
      <c r="AR502" s="10"/>
      <c r="AS502" s="10"/>
      <c r="AT502" s="10"/>
      <c r="AU502" s="10"/>
      <c r="AV502" s="11"/>
      <c r="AW502" s="11"/>
      <c r="AX502" s="10"/>
      <c r="AY502" s="11"/>
      <c r="AZ502" s="11"/>
      <c r="BA502" s="11"/>
      <c r="BB502" s="10"/>
      <c r="BC502" s="11"/>
      <c r="BD502" s="11"/>
      <c r="BE502" s="11"/>
      <c r="BF502" s="11"/>
      <c r="BG502" s="11"/>
      <c r="BH502" s="11"/>
      <c r="BI502" s="11"/>
      <c r="BJ502" s="11"/>
      <c r="BK502" s="11"/>
      <c r="BL502" s="11"/>
      <c r="BM502" s="11"/>
      <c r="BN502" s="11"/>
      <c r="BO502" s="11"/>
      <c r="BP502" s="11"/>
      <c r="BQ502" s="11"/>
      <c r="BR502" s="11"/>
      <c r="BS502" s="11"/>
      <c r="BT502" s="11"/>
      <c r="BU502" s="11"/>
      <c r="BV502" s="11"/>
      <c r="BW502" s="11"/>
      <c r="BX502" s="11"/>
      <c r="BY502" s="11"/>
      <c r="BZ502" s="11"/>
      <c r="CA502" s="11"/>
      <c r="CB502" s="11"/>
      <c r="CC502" s="17"/>
      <c r="CD502" s="17"/>
      <c r="CE502" s="11"/>
      <c r="CF502" s="13"/>
      <c r="CG502" s="13"/>
      <c r="CH502" s="13"/>
      <c r="CI502" s="13"/>
      <c r="CJ502" s="13"/>
    </row>
    <row r="503" spans="1:88" s="9" customFormat="1" x14ac:dyDescent="0.25">
      <c r="A503" s="10"/>
      <c r="B503" s="10"/>
      <c r="C503" s="10"/>
      <c r="D503" s="10"/>
      <c r="E503" s="11"/>
      <c r="F503" s="10"/>
      <c r="G503" s="10"/>
      <c r="H503" s="10"/>
      <c r="I503" s="10"/>
      <c r="J503" s="10"/>
      <c r="K503" s="12"/>
      <c r="L503" s="10"/>
      <c r="M503" s="10"/>
      <c r="N503" s="13"/>
      <c r="O503" s="10"/>
      <c r="P503" s="10"/>
      <c r="Q503" s="10"/>
      <c r="R503" s="18"/>
      <c r="S503" s="10"/>
      <c r="T503" s="10"/>
      <c r="U503" s="13"/>
      <c r="V503" s="13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3"/>
      <c r="AL503" s="14"/>
      <c r="AM503" s="15"/>
      <c r="AN503" s="15"/>
      <c r="AO503" s="13"/>
      <c r="AP503" s="13"/>
      <c r="AQ503" s="16"/>
      <c r="AR503" s="10"/>
      <c r="AS503" s="10"/>
      <c r="AT503" s="10"/>
      <c r="AU503" s="10"/>
      <c r="AV503" s="11"/>
      <c r="AW503" s="11"/>
      <c r="AX503" s="10"/>
      <c r="AY503" s="11"/>
      <c r="AZ503" s="11"/>
      <c r="BA503" s="11"/>
      <c r="BB503" s="10"/>
      <c r="BC503" s="11"/>
      <c r="BD503" s="11"/>
      <c r="BE503" s="11"/>
      <c r="BF503" s="11"/>
      <c r="BG503" s="11"/>
      <c r="BH503" s="11"/>
      <c r="BI503" s="11"/>
      <c r="BJ503" s="11"/>
      <c r="BK503" s="11"/>
      <c r="BL503" s="11"/>
      <c r="BM503" s="11"/>
      <c r="BN503" s="11"/>
      <c r="BO503" s="11"/>
      <c r="BP503" s="11"/>
      <c r="BQ503" s="11"/>
      <c r="BR503" s="11"/>
      <c r="BS503" s="11"/>
      <c r="BT503" s="11"/>
      <c r="BU503" s="11"/>
      <c r="BV503" s="11"/>
      <c r="BW503" s="11"/>
      <c r="BX503" s="11"/>
      <c r="BY503" s="11"/>
      <c r="BZ503" s="11"/>
      <c r="CA503" s="11"/>
      <c r="CB503" s="11"/>
      <c r="CC503" s="17"/>
      <c r="CD503" s="17"/>
      <c r="CE503" s="11"/>
      <c r="CF503" s="13"/>
      <c r="CG503" s="13"/>
      <c r="CH503" s="13"/>
      <c r="CI503" s="13"/>
      <c r="CJ503" s="13"/>
    </row>
    <row r="504" spans="1:88" s="9" customFormat="1" x14ac:dyDescent="0.25">
      <c r="A504" s="10"/>
      <c r="B504" s="10"/>
      <c r="C504" s="10"/>
      <c r="D504" s="10"/>
      <c r="E504" s="11"/>
      <c r="F504" s="10"/>
      <c r="G504" s="10"/>
      <c r="H504" s="10"/>
      <c r="I504" s="10"/>
      <c r="J504" s="10"/>
      <c r="K504" s="12"/>
      <c r="L504" s="10"/>
      <c r="M504" s="10"/>
      <c r="N504" s="13"/>
      <c r="O504" s="10"/>
      <c r="P504" s="10"/>
      <c r="Q504" s="10"/>
      <c r="R504" s="18"/>
      <c r="S504" s="10"/>
      <c r="T504" s="10"/>
      <c r="U504" s="13"/>
      <c r="V504" s="13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3"/>
      <c r="AL504" s="14"/>
      <c r="AM504" s="15"/>
      <c r="AN504" s="15"/>
      <c r="AO504" s="13"/>
      <c r="AP504" s="13"/>
      <c r="AQ504" s="16"/>
      <c r="AR504" s="10"/>
      <c r="AS504" s="10"/>
      <c r="AT504" s="10"/>
      <c r="AU504" s="10"/>
      <c r="AV504" s="11"/>
      <c r="AW504" s="11"/>
      <c r="AX504" s="10"/>
      <c r="AY504" s="11"/>
      <c r="AZ504" s="11"/>
      <c r="BA504" s="11"/>
      <c r="BB504" s="10"/>
      <c r="BC504" s="11"/>
      <c r="BD504" s="11"/>
      <c r="BE504" s="11"/>
      <c r="BF504" s="11"/>
      <c r="BG504" s="11"/>
      <c r="BH504" s="11"/>
      <c r="BI504" s="11"/>
      <c r="BJ504" s="11"/>
      <c r="BK504" s="11"/>
      <c r="BL504" s="11"/>
      <c r="BM504" s="11"/>
      <c r="BN504" s="11"/>
      <c r="BO504" s="11"/>
      <c r="BP504" s="11"/>
      <c r="BQ504" s="11"/>
      <c r="BR504" s="11"/>
      <c r="BS504" s="11"/>
      <c r="BT504" s="11"/>
      <c r="BU504" s="11"/>
      <c r="BV504" s="11"/>
      <c r="BW504" s="11"/>
      <c r="BX504" s="11"/>
      <c r="BY504" s="11"/>
      <c r="BZ504" s="11"/>
      <c r="CA504" s="11"/>
      <c r="CB504" s="11"/>
      <c r="CC504" s="17"/>
      <c r="CD504" s="17"/>
      <c r="CE504" s="11"/>
      <c r="CF504" s="13"/>
      <c r="CG504" s="13"/>
      <c r="CH504" s="13"/>
      <c r="CI504" s="13"/>
      <c r="CJ504" s="13"/>
    </row>
    <row r="505" spans="1:88" s="9" customFormat="1" x14ac:dyDescent="0.25">
      <c r="A505" s="10"/>
      <c r="B505" s="10"/>
      <c r="C505" s="10"/>
      <c r="D505" s="10"/>
      <c r="E505" s="11"/>
      <c r="F505" s="10"/>
      <c r="G505" s="10"/>
      <c r="H505" s="10"/>
      <c r="I505" s="10"/>
      <c r="J505" s="10"/>
      <c r="K505" s="12"/>
      <c r="L505" s="10"/>
      <c r="M505" s="10"/>
      <c r="N505" s="13"/>
      <c r="O505" s="10"/>
      <c r="P505" s="10"/>
      <c r="Q505" s="10"/>
      <c r="R505" s="18"/>
      <c r="S505" s="10"/>
      <c r="T505" s="10"/>
      <c r="U505" s="13"/>
      <c r="V505" s="13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3"/>
      <c r="AL505" s="14"/>
      <c r="AM505" s="15"/>
      <c r="AN505" s="15"/>
      <c r="AO505" s="13"/>
      <c r="AP505" s="13"/>
      <c r="AQ505" s="16"/>
      <c r="AR505" s="10"/>
      <c r="AS505" s="10"/>
      <c r="AT505" s="10"/>
      <c r="AU505" s="10"/>
      <c r="AV505" s="11"/>
      <c r="AW505" s="11"/>
      <c r="AX505" s="10"/>
      <c r="AY505" s="11"/>
      <c r="AZ505" s="11"/>
      <c r="BA505" s="11"/>
      <c r="BB505" s="10"/>
      <c r="BC505" s="11"/>
      <c r="BD505" s="11"/>
      <c r="BE505" s="11"/>
      <c r="BF505" s="11"/>
      <c r="BG505" s="11"/>
      <c r="BH505" s="11"/>
      <c r="BI505" s="11"/>
      <c r="BJ505" s="11"/>
      <c r="BK505" s="11"/>
      <c r="BL505" s="11"/>
      <c r="BM505" s="11"/>
      <c r="BN505" s="11"/>
      <c r="BO505" s="11"/>
      <c r="BP505" s="11"/>
      <c r="BQ505" s="11"/>
      <c r="BR505" s="11"/>
      <c r="BS505" s="11"/>
      <c r="BT505" s="11"/>
      <c r="BU505" s="11"/>
      <c r="BV505" s="11"/>
      <c r="BW505" s="11"/>
      <c r="BX505" s="11"/>
      <c r="BY505" s="11"/>
      <c r="BZ505" s="11"/>
      <c r="CA505" s="11"/>
      <c r="CB505" s="11"/>
      <c r="CC505" s="17"/>
      <c r="CD505" s="17"/>
      <c r="CE505" s="11"/>
      <c r="CF505" s="13"/>
      <c r="CG505" s="13"/>
      <c r="CH505" s="13"/>
      <c r="CI505" s="13"/>
      <c r="CJ505" s="13"/>
    </row>
    <row r="506" spans="1:88" s="9" customFormat="1" x14ac:dyDescent="0.25">
      <c r="A506" s="10"/>
      <c r="B506" s="10"/>
      <c r="C506" s="10"/>
      <c r="D506" s="10"/>
      <c r="E506" s="11"/>
      <c r="F506" s="10"/>
      <c r="G506" s="10"/>
      <c r="H506" s="10"/>
      <c r="I506" s="10"/>
      <c r="J506" s="10"/>
      <c r="K506" s="12"/>
      <c r="L506" s="10"/>
      <c r="M506" s="10"/>
      <c r="N506" s="13"/>
      <c r="O506" s="10"/>
      <c r="P506" s="10"/>
      <c r="Q506" s="10"/>
      <c r="R506" s="18"/>
      <c r="S506" s="10"/>
      <c r="T506" s="10"/>
      <c r="U506" s="13"/>
      <c r="V506" s="13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3"/>
      <c r="AL506" s="14"/>
      <c r="AM506" s="15"/>
      <c r="AN506" s="15"/>
      <c r="AO506" s="13"/>
      <c r="AP506" s="13"/>
      <c r="AQ506" s="16"/>
      <c r="AR506" s="10"/>
      <c r="AS506" s="10"/>
      <c r="AT506" s="10"/>
      <c r="AU506" s="10"/>
      <c r="AV506" s="11"/>
      <c r="AW506" s="11"/>
      <c r="AX506" s="10"/>
      <c r="AY506" s="11"/>
      <c r="AZ506" s="11"/>
      <c r="BA506" s="11"/>
      <c r="BB506" s="10"/>
      <c r="BC506" s="11"/>
      <c r="BD506" s="11"/>
      <c r="BE506" s="11"/>
      <c r="BF506" s="11"/>
      <c r="BG506" s="11"/>
      <c r="BH506" s="11"/>
      <c r="BI506" s="11"/>
      <c r="BJ506" s="11"/>
      <c r="BK506" s="11"/>
      <c r="BL506" s="11"/>
      <c r="BM506" s="11"/>
      <c r="BN506" s="11"/>
      <c r="BO506" s="11"/>
      <c r="BP506" s="11"/>
      <c r="BQ506" s="11"/>
      <c r="BR506" s="11"/>
      <c r="BS506" s="11"/>
      <c r="BT506" s="11"/>
      <c r="BU506" s="11"/>
      <c r="BV506" s="11"/>
      <c r="BW506" s="11"/>
      <c r="BX506" s="11"/>
      <c r="BY506" s="11"/>
      <c r="BZ506" s="11"/>
      <c r="CA506" s="11"/>
      <c r="CB506" s="11"/>
      <c r="CC506" s="17"/>
      <c r="CD506" s="17"/>
      <c r="CE506" s="11"/>
      <c r="CF506" s="13"/>
      <c r="CG506" s="13"/>
      <c r="CH506" s="13"/>
      <c r="CI506" s="13"/>
      <c r="CJ506" s="13"/>
    </row>
    <row r="507" spans="1:88" s="9" customFormat="1" x14ac:dyDescent="0.25">
      <c r="A507" s="10"/>
      <c r="B507" s="10"/>
      <c r="C507" s="10"/>
      <c r="D507" s="10"/>
      <c r="E507" s="11"/>
      <c r="F507" s="10"/>
      <c r="G507" s="10"/>
      <c r="H507" s="10"/>
      <c r="I507" s="10"/>
      <c r="J507" s="10"/>
      <c r="K507" s="12"/>
      <c r="L507" s="10"/>
      <c r="M507" s="10"/>
      <c r="N507" s="13"/>
      <c r="O507" s="10"/>
      <c r="P507" s="10"/>
      <c r="Q507" s="10"/>
      <c r="R507" s="18"/>
      <c r="S507" s="10"/>
      <c r="T507" s="10"/>
      <c r="U507" s="13"/>
      <c r="V507" s="13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3"/>
      <c r="AL507" s="14"/>
      <c r="AM507" s="15"/>
      <c r="AN507" s="15"/>
      <c r="AO507" s="13"/>
      <c r="AP507" s="13"/>
      <c r="AQ507" s="16"/>
      <c r="AR507" s="10"/>
      <c r="AS507" s="10"/>
      <c r="AT507" s="10"/>
      <c r="AU507" s="10"/>
      <c r="AV507" s="11"/>
      <c r="AW507" s="11"/>
      <c r="AX507" s="10"/>
      <c r="AY507" s="11"/>
      <c r="AZ507" s="11"/>
      <c r="BA507" s="11"/>
      <c r="BB507" s="10"/>
      <c r="BC507" s="11"/>
      <c r="BD507" s="11"/>
      <c r="BE507" s="11"/>
      <c r="BF507" s="11"/>
      <c r="BG507" s="11"/>
      <c r="BH507" s="11"/>
      <c r="BI507" s="11"/>
      <c r="BJ507" s="11"/>
      <c r="BK507" s="11"/>
      <c r="BL507" s="11"/>
      <c r="BM507" s="11"/>
      <c r="BN507" s="11"/>
      <c r="BO507" s="11"/>
      <c r="BP507" s="11"/>
      <c r="BQ507" s="11"/>
      <c r="BR507" s="11"/>
      <c r="BS507" s="11"/>
      <c r="BT507" s="11"/>
      <c r="BU507" s="11"/>
      <c r="BV507" s="11"/>
      <c r="BW507" s="11"/>
      <c r="BX507" s="11"/>
      <c r="BY507" s="11"/>
      <c r="BZ507" s="11"/>
      <c r="CA507" s="11"/>
      <c r="CB507" s="11"/>
      <c r="CC507" s="17"/>
      <c r="CD507" s="17"/>
      <c r="CE507" s="11"/>
      <c r="CF507" s="13"/>
      <c r="CG507" s="13"/>
      <c r="CH507" s="13"/>
      <c r="CI507" s="13"/>
      <c r="CJ507" s="13"/>
    </row>
    <row r="508" spans="1:88" s="9" customFormat="1" x14ac:dyDescent="0.25">
      <c r="A508" s="10"/>
      <c r="B508" s="10"/>
      <c r="C508" s="10"/>
      <c r="D508" s="10"/>
      <c r="E508" s="11"/>
      <c r="F508" s="10"/>
      <c r="G508" s="10"/>
      <c r="H508" s="10"/>
      <c r="I508" s="10"/>
      <c r="J508" s="10"/>
      <c r="K508" s="12"/>
      <c r="L508" s="10"/>
      <c r="M508" s="10"/>
      <c r="N508" s="13"/>
      <c r="O508" s="10"/>
      <c r="P508" s="10"/>
      <c r="Q508" s="10"/>
      <c r="R508" s="18"/>
      <c r="S508" s="10"/>
      <c r="T508" s="10"/>
      <c r="U508" s="13"/>
      <c r="V508" s="13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3"/>
      <c r="AL508" s="14"/>
      <c r="AM508" s="15"/>
      <c r="AN508" s="15"/>
      <c r="AO508" s="13"/>
      <c r="AP508" s="13"/>
      <c r="AQ508" s="16"/>
      <c r="AR508" s="10"/>
      <c r="AS508" s="10"/>
      <c r="AT508" s="10"/>
      <c r="AU508" s="10"/>
      <c r="AV508" s="11"/>
      <c r="AW508" s="11"/>
      <c r="AX508" s="10"/>
      <c r="AY508" s="11"/>
      <c r="AZ508" s="11"/>
      <c r="BA508" s="11"/>
      <c r="BB508" s="10"/>
      <c r="BC508" s="11"/>
      <c r="BD508" s="11"/>
      <c r="BE508" s="11"/>
      <c r="BF508" s="11"/>
      <c r="BG508" s="11"/>
      <c r="BH508" s="11"/>
      <c r="BI508" s="11"/>
      <c r="BJ508" s="11"/>
      <c r="BK508" s="11"/>
      <c r="BL508" s="11"/>
      <c r="BM508" s="11"/>
      <c r="BN508" s="11"/>
      <c r="BO508" s="11"/>
      <c r="BP508" s="11"/>
      <c r="BQ508" s="11"/>
      <c r="BR508" s="11"/>
      <c r="BS508" s="11"/>
      <c r="BT508" s="11"/>
      <c r="BU508" s="11"/>
      <c r="BV508" s="11"/>
      <c r="BW508" s="11"/>
      <c r="BX508" s="11"/>
      <c r="BY508" s="11"/>
      <c r="BZ508" s="11"/>
      <c r="CA508" s="11"/>
      <c r="CB508" s="11"/>
      <c r="CC508" s="17"/>
      <c r="CD508" s="17"/>
      <c r="CE508" s="11"/>
      <c r="CF508" s="13"/>
      <c r="CG508" s="13"/>
      <c r="CH508" s="13"/>
      <c r="CI508" s="13"/>
      <c r="CJ508" s="13"/>
    </row>
    <row r="509" spans="1:88" s="9" customFormat="1" x14ac:dyDescent="0.25">
      <c r="A509" s="10"/>
      <c r="B509" s="10"/>
      <c r="C509" s="10"/>
      <c r="D509" s="10"/>
      <c r="E509" s="11"/>
      <c r="F509" s="10"/>
      <c r="G509" s="10"/>
      <c r="H509" s="10"/>
      <c r="I509" s="10"/>
      <c r="J509" s="10"/>
      <c r="K509" s="12"/>
      <c r="L509" s="10"/>
      <c r="M509" s="10"/>
      <c r="N509" s="13"/>
      <c r="O509" s="10"/>
      <c r="P509" s="10"/>
      <c r="Q509" s="10"/>
      <c r="R509" s="18"/>
      <c r="S509" s="10"/>
      <c r="T509" s="10"/>
      <c r="U509" s="13"/>
      <c r="V509" s="13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3"/>
      <c r="AL509" s="14"/>
      <c r="AM509" s="15"/>
      <c r="AN509" s="15"/>
      <c r="AO509" s="13"/>
      <c r="AP509" s="13"/>
      <c r="AQ509" s="16"/>
      <c r="AR509" s="10"/>
      <c r="AS509" s="10"/>
      <c r="AT509" s="10"/>
      <c r="AU509" s="10"/>
      <c r="AV509" s="11"/>
      <c r="AW509" s="11"/>
      <c r="AX509" s="10"/>
      <c r="AY509" s="11"/>
      <c r="AZ509" s="11"/>
      <c r="BA509" s="11"/>
      <c r="BB509" s="10"/>
      <c r="BC509" s="11"/>
      <c r="BD509" s="11"/>
      <c r="BE509" s="11"/>
      <c r="BF509" s="11"/>
      <c r="BG509" s="11"/>
      <c r="BH509" s="11"/>
      <c r="BI509" s="11"/>
      <c r="BJ509" s="11"/>
      <c r="BK509" s="11"/>
      <c r="BL509" s="11"/>
      <c r="BM509" s="11"/>
      <c r="BN509" s="11"/>
      <c r="BO509" s="11"/>
      <c r="BP509" s="11"/>
      <c r="BQ509" s="11"/>
      <c r="BR509" s="11"/>
      <c r="BS509" s="11"/>
      <c r="BT509" s="11"/>
      <c r="BU509" s="11"/>
      <c r="BV509" s="11"/>
      <c r="BW509" s="11"/>
      <c r="BX509" s="11"/>
      <c r="BY509" s="11"/>
      <c r="BZ509" s="11"/>
      <c r="CA509" s="11"/>
      <c r="CB509" s="11"/>
      <c r="CC509" s="17"/>
      <c r="CD509" s="17"/>
      <c r="CE509" s="11"/>
      <c r="CF509" s="13"/>
      <c r="CG509" s="13"/>
      <c r="CH509" s="13"/>
      <c r="CI509" s="13"/>
      <c r="CJ509" s="13"/>
    </row>
    <row r="510" spans="1:88" s="9" customFormat="1" x14ac:dyDescent="0.25">
      <c r="A510" s="10"/>
      <c r="B510" s="10"/>
      <c r="C510" s="10"/>
      <c r="D510" s="10"/>
      <c r="E510" s="11"/>
      <c r="F510" s="10"/>
      <c r="G510" s="10"/>
      <c r="H510" s="10"/>
      <c r="I510" s="10"/>
      <c r="J510" s="10"/>
      <c r="K510" s="12"/>
      <c r="L510" s="10"/>
      <c r="M510" s="10"/>
      <c r="N510" s="13"/>
      <c r="O510" s="10"/>
      <c r="P510" s="10"/>
      <c r="Q510" s="10"/>
      <c r="R510" s="18"/>
      <c r="S510" s="10"/>
      <c r="T510" s="10"/>
      <c r="U510" s="13"/>
      <c r="V510" s="13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3"/>
      <c r="AL510" s="14"/>
      <c r="AM510" s="15"/>
      <c r="AN510" s="15"/>
      <c r="AO510" s="13"/>
      <c r="AP510" s="13"/>
      <c r="AQ510" s="16"/>
      <c r="AR510" s="10"/>
      <c r="AS510" s="10"/>
      <c r="AT510" s="10"/>
      <c r="AU510" s="10"/>
      <c r="AV510" s="11"/>
      <c r="AW510" s="11"/>
      <c r="AX510" s="10"/>
      <c r="AY510" s="11"/>
      <c r="AZ510" s="11"/>
      <c r="BA510" s="11"/>
      <c r="BB510" s="10"/>
      <c r="BC510" s="11"/>
      <c r="BD510" s="11"/>
      <c r="BE510" s="11"/>
      <c r="BF510" s="11"/>
      <c r="BG510" s="11"/>
      <c r="BH510" s="11"/>
      <c r="BI510" s="11"/>
      <c r="BJ510" s="11"/>
      <c r="BK510" s="11"/>
      <c r="BL510" s="11"/>
      <c r="BM510" s="11"/>
      <c r="BN510" s="11"/>
      <c r="BO510" s="11"/>
      <c r="BP510" s="11"/>
      <c r="BQ510" s="11"/>
      <c r="BR510" s="11"/>
      <c r="BS510" s="11"/>
      <c r="BT510" s="11"/>
      <c r="BU510" s="11"/>
      <c r="BV510" s="11"/>
      <c r="BW510" s="11"/>
      <c r="BX510" s="11"/>
      <c r="BY510" s="11"/>
      <c r="BZ510" s="11"/>
      <c r="CA510" s="11"/>
      <c r="CB510" s="11"/>
      <c r="CC510" s="17"/>
      <c r="CD510" s="17"/>
      <c r="CE510" s="11"/>
      <c r="CF510" s="13"/>
      <c r="CG510" s="13"/>
      <c r="CH510" s="13"/>
      <c r="CI510" s="13"/>
      <c r="CJ510" s="13"/>
    </row>
    <row r="511" spans="1:88" s="9" customFormat="1" x14ac:dyDescent="0.25">
      <c r="A511" s="10"/>
      <c r="B511" s="10"/>
      <c r="C511" s="10"/>
      <c r="D511" s="10"/>
      <c r="E511" s="11"/>
      <c r="F511" s="10"/>
      <c r="G511" s="10"/>
      <c r="H511" s="10"/>
      <c r="I511" s="10"/>
      <c r="J511" s="10"/>
      <c r="K511" s="12"/>
      <c r="L511" s="10"/>
      <c r="M511" s="10"/>
      <c r="N511" s="13"/>
      <c r="O511" s="10"/>
      <c r="P511" s="10"/>
      <c r="Q511" s="10"/>
      <c r="R511" s="18"/>
      <c r="S511" s="10"/>
      <c r="T511" s="10"/>
      <c r="U511" s="13"/>
      <c r="V511" s="13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3"/>
      <c r="AL511" s="14"/>
      <c r="AM511" s="15"/>
      <c r="AN511" s="15"/>
      <c r="AO511" s="13"/>
      <c r="AP511" s="13"/>
      <c r="AQ511" s="16"/>
      <c r="AR511" s="10"/>
      <c r="AS511" s="10"/>
      <c r="AT511" s="10"/>
      <c r="AU511" s="10"/>
      <c r="AV511" s="11"/>
      <c r="AW511" s="11"/>
      <c r="AX511" s="10"/>
      <c r="AY511" s="11"/>
      <c r="AZ511" s="11"/>
      <c r="BA511" s="11"/>
      <c r="BB511" s="10"/>
      <c r="BC511" s="11"/>
      <c r="BD511" s="11"/>
      <c r="BE511" s="11"/>
      <c r="BF511" s="11"/>
      <c r="BG511" s="11"/>
      <c r="BH511" s="11"/>
      <c r="BI511" s="11"/>
      <c r="BJ511" s="11"/>
      <c r="BK511" s="11"/>
      <c r="BL511" s="11"/>
      <c r="BM511" s="11"/>
      <c r="BN511" s="11"/>
      <c r="BO511" s="11"/>
      <c r="BP511" s="11"/>
      <c r="BQ511" s="11"/>
      <c r="BR511" s="11"/>
      <c r="BS511" s="11"/>
      <c r="BT511" s="11"/>
      <c r="BU511" s="11"/>
      <c r="BV511" s="11"/>
      <c r="BW511" s="11"/>
      <c r="BX511" s="11"/>
      <c r="BY511" s="11"/>
      <c r="BZ511" s="11"/>
      <c r="CA511" s="11"/>
      <c r="CB511" s="11"/>
      <c r="CC511" s="17"/>
      <c r="CD511" s="17"/>
      <c r="CE511" s="11"/>
      <c r="CF511" s="13"/>
      <c r="CG511" s="13"/>
      <c r="CH511" s="13"/>
      <c r="CI511" s="13"/>
      <c r="CJ511" s="13"/>
    </row>
    <row r="512" spans="1:88" s="9" customFormat="1" x14ac:dyDescent="0.25">
      <c r="A512" s="10"/>
      <c r="B512" s="10"/>
      <c r="C512" s="10"/>
      <c r="D512" s="10"/>
      <c r="E512" s="11"/>
      <c r="F512" s="10"/>
      <c r="G512" s="10"/>
      <c r="H512" s="10"/>
      <c r="I512" s="10"/>
      <c r="J512" s="10"/>
      <c r="K512" s="12"/>
      <c r="L512" s="10"/>
      <c r="M512" s="10"/>
      <c r="N512" s="13"/>
      <c r="O512" s="10"/>
      <c r="P512" s="10"/>
      <c r="Q512" s="10"/>
      <c r="R512" s="18"/>
      <c r="S512" s="10"/>
      <c r="T512" s="10"/>
      <c r="U512" s="13"/>
      <c r="V512" s="13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3"/>
      <c r="AL512" s="14"/>
      <c r="AM512" s="15"/>
      <c r="AN512" s="15"/>
      <c r="AO512" s="13"/>
      <c r="AP512" s="13"/>
      <c r="AQ512" s="16"/>
      <c r="AR512" s="10"/>
      <c r="AS512" s="10"/>
      <c r="AT512" s="10"/>
      <c r="AU512" s="10"/>
      <c r="AV512" s="11"/>
      <c r="AW512" s="11"/>
      <c r="AX512" s="10"/>
      <c r="AY512" s="11"/>
      <c r="AZ512" s="11"/>
      <c r="BA512" s="11"/>
      <c r="BB512" s="10"/>
      <c r="BC512" s="11"/>
      <c r="BD512" s="11"/>
      <c r="BE512" s="11"/>
      <c r="BF512" s="11"/>
      <c r="BG512" s="11"/>
      <c r="BH512" s="11"/>
      <c r="BI512" s="11"/>
      <c r="BJ512" s="11"/>
      <c r="BK512" s="11"/>
      <c r="BL512" s="11"/>
      <c r="BM512" s="11"/>
      <c r="BN512" s="11"/>
      <c r="BO512" s="11"/>
      <c r="BP512" s="11"/>
      <c r="BQ512" s="11"/>
      <c r="BR512" s="11"/>
      <c r="BS512" s="11"/>
      <c r="BT512" s="11"/>
      <c r="BU512" s="11"/>
      <c r="BV512" s="11"/>
      <c r="BW512" s="11"/>
      <c r="BX512" s="11"/>
      <c r="BY512" s="11"/>
      <c r="BZ512" s="11"/>
      <c r="CA512" s="11"/>
      <c r="CB512" s="11"/>
      <c r="CC512" s="17"/>
      <c r="CD512" s="17"/>
      <c r="CE512" s="11"/>
      <c r="CF512" s="13"/>
      <c r="CG512" s="13"/>
      <c r="CH512" s="13"/>
      <c r="CI512" s="13"/>
      <c r="CJ512" s="13"/>
    </row>
    <row r="513" spans="1:88" s="9" customFormat="1" x14ac:dyDescent="0.25">
      <c r="A513" s="10"/>
      <c r="B513" s="10"/>
      <c r="C513" s="10"/>
      <c r="D513" s="10"/>
      <c r="E513" s="11"/>
      <c r="F513" s="10"/>
      <c r="G513" s="10"/>
      <c r="H513" s="10"/>
      <c r="I513" s="10"/>
      <c r="J513" s="10"/>
      <c r="K513" s="12"/>
      <c r="L513" s="10"/>
      <c r="M513" s="10"/>
      <c r="N513" s="13"/>
      <c r="O513" s="10"/>
      <c r="P513" s="10"/>
      <c r="Q513" s="10"/>
      <c r="R513" s="18"/>
      <c r="S513" s="10"/>
      <c r="T513" s="10"/>
      <c r="U513" s="13"/>
      <c r="V513" s="13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3"/>
      <c r="AL513" s="14"/>
      <c r="AM513" s="15"/>
      <c r="AN513" s="15"/>
      <c r="AO513" s="13"/>
      <c r="AP513" s="13"/>
      <c r="AQ513" s="16"/>
      <c r="AR513" s="10"/>
      <c r="AS513" s="10"/>
      <c r="AT513" s="10"/>
      <c r="AU513" s="10"/>
      <c r="AV513" s="11"/>
      <c r="AW513" s="11"/>
      <c r="AX513" s="10"/>
      <c r="AY513" s="11"/>
      <c r="AZ513" s="11"/>
      <c r="BA513" s="11"/>
      <c r="BB513" s="10"/>
      <c r="BC513" s="11"/>
      <c r="BD513" s="11"/>
      <c r="BE513" s="11"/>
      <c r="BF513" s="11"/>
      <c r="BG513" s="11"/>
      <c r="BH513" s="11"/>
      <c r="BI513" s="11"/>
      <c r="BJ513" s="11"/>
      <c r="BK513" s="11"/>
      <c r="BL513" s="11"/>
      <c r="BM513" s="11"/>
      <c r="BN513" s="11"/>
      <c r="BO513" s="11"/>
      <c r="BP513" s="11"/>
      <c r="BQ513" s="11"/>
      <c r="BR513" s="11"/>
      <c r="BS513" s="11"/>
      <c r="BT513" s="11"/>
      <c r="BU513" s="11"/>
      <c r="BV513" s="11"/>
      <c r="BW513" s="11"/>
      <c r="BX513" s="11"/>
      <c r="BY513" s="11"/>
      <c r="BZ513" s="11"/>
      <c r="CA513" s="11"/>
      <c r="CB513" s="11"/>
      <c r="CC513" s="17"/>
      <c r="CD513" s="17"/>
      <c r="CE513" s="11"/>
      <c r="CF513" s="13"/>
      <c r="CG513" s="13"/>
      <c r="CH513" s="13"/>
      <c r="CI513" s="13"/>
      <c r="CJ513" s="13"/>
    </row>
    <row r="514" spans="1:88" s="9" customFormat="1" x14ac:dyDescent="0.25">
      <c r="A514" s="10"/>
      <c r="B514" s="10"/>
      <c r="C514" s="10"/>
      <c r="D514" s="10"/>
      <c r="E514" s="11"/>
      <c r="F514" s="10"/>
      <c r="G514" s="10"/>
      <c r="H514" s="10"/>
      <c r="I514" s="10"/>
      <c r="J514" s="10"/>
      <c r="K514" s="12"/>
      <c r="L514" s="10"/>
      <c r="M514" s="10"/>
      <c r="N514" s="13"/>
      <c r="O514" s="10"/>
      <c r="P514" s="10"/>
      <c r="Q514" s="10"/>
      <c r="R514" s="18"/>
      <c r="S514" s="10"/>
      <c r="T514" s="10"/>
      <c r="U514" s="13"/>
      <c r="V514" s="13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3"/>
      <c r="AL514" s="14"/>
      <c r="AM514" s="15"/>
      <c r="AN514" s="15"/>
      <c r="AO514" s="13"/>
      <c r="AP514" s="13"/>
      <c r="AQ514" s="16"/>
      <c r="AR514" s="10"/>
      <c r="AS514" s="10"/>
      <c r="AT514" s="10"/>
      <c r="AU514" s="10"/>
      <c r="AV514" s="11"/>
      <c r="AW514" s="11"/>
      <c r="AX514" s="10"/>
      <c r="AY514" s="11"/>
      <c r="AZ514" s="11"/>
      <c r="BA514" s="11"/>
      <c r="BB514" s="10"/>
      <c r="BC514" s="11"/>
      <c r="BD514" s="11"/>
      <c r="BE514" s="11"/>
      <c r="BF514" s="11"/>
      <c r="BG514" s="11"/>
      <c r="BH514" s="11"/>
      <c r="BI514" s="11"/>
      <c r="BJ514" s="11"/>
      <c r="BK514" s="11"/>
      <c r="BL514" s="11"/>
      <c r="BM514" s="11"/>
      <c r="BN514" s="11"/>
      <c r="BO514" s="11"/>
      <c r="BP514" s="11"/>
      <c r="BQ514" s="11"/>
      <c r="BR514" s="11"/>
      <c r="BS514" s="11"/>
      <c r="BT514" s="11"/>
      <c r="BU514" s="11"/>
      <c r="BV514" s="11"/>
      <c r="BW514" s="11"/>
      <c r="BX514" s="11"/>
      <c r="BY514" s="11"/>
      <c r="BZ514" s="11"/>
      <c r="CA514" s="11"/>
      <c r="CB514" s="11"/>
      <c r="CC514" s="17"/>
      <c r="CD514" s="17"/>
      <c r="CE514" s="11"/>
      <c r="CF514" s="13"/>
      <c r="CG514" s="13"/>
      <c r="CH514" s="13"/>
      <c r="CI514" s="13"/>
      <c r="CJ514" s="13"/>
    </row>
    <row r="515" spans="1:88" s="9" customFormat="1" x14ac:dyDescent="0.25">
      <c r="A515" s="10"/>
      <c r="B515" s="10"/>
      <c r="C515" s="10"/>
      <c r="D515" s="10"/>
      <c r="E515" s="11"/>
      <c r="F515" s="10"/>
      <c r="G515" s="10"/>
      <c r="H515" s="10"/>
      <c r="I515" s="10"/>
      <c r="J515" s="10"/>
      <c r="K515" s="12"/>
      <c r="L515" s="10"/>
      <c r="M515" s="10"/>
      <c r="N515" s="13"/>
      <c r="O515" s="10"/>
      <c r="P515" s="10"/>
      <c r="Q515" s="10"/>
      <c r="R515" s="18"/>
      <c r="S515" s="10"/>
      <c r="T515" s="10"/>
      <c r="U515" s="13"/>
      <c r="V515" s="13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3"/>
      <c r="AL515" s="14"/>
      <c r="AM515" s="15"/>
      <c r="AN515" s="15"/>
      <c r="AO515" s="13"/>
      <c r="AP515" s="13"/>
      <c r="AQ515" s="16"/>
      <c r="AR515" s="10"/>
      <c r="AS515" s="10"/>
      <c r="AT515" s="10"/>
      <c r="AU515" s="10"/>
      <c r="AV515" s="11"/>
      <c r="AW515" s="11"/>
      <c r="AX515" s="10"/>
      <c r="AY515" s="11"/>
      <c r="AZ515" s="11"/>
      <c r="BA515" s="11"/>
      <c r="BB515" s="10"/>
      <c r="BC515" s="11"/>
      <c r="BD515" s="11"/>
      <c r="BE515" s="11"/>
      <c r="BF515" s="11"/>
      <c r="BG515" s="11"/>
      <c r="BH515" s="11"/>
      <c r="BI515" s="11"/>
      <c r="BJ515" s="11"/>
      <c r="BK515" s="11"/>
      <c r="BL515" s="11"/>
      <c r="BM515" s="11"/>
      <c r="BN515" s="11"/>
      <c r="BO515" s="11"/>
      <c r="BP515" s="11"/>
      <c r="BQ515" s="11"/>
      <c r="BR515" s="11"/>
      <c r="BS515" s="11"/>
      <c r="BT515" s="11"/>
      <c r="BU515" s="11"/>
      <c r="BV515" s="11"/>
      <c r="BW515" s="11"/>
      <c r="BX515" s="11"/>
      <c r="BY515" s="11"/>
      <c r="BZ515" s="11"/>
      <c r="CA515" s="11"/>
      <c r="CB515" s="11"/>
      <c r="CC515" s="17"/>
      <c r="CD515" s="17"/>
      <c r="CE515" s="11"/>
      <c r="CF515" s="13"/>
      <c r="CG515" s="13"/>
      <c r="CH515" s="13"/>
      <c r="CI515" s="13"/>
      <c r="CJ515" s="13"/>
    </row>
    <row r="516" spans="1:88" s="9" customFormat="1" x14ac:dyDescent="0.25">
      <c r="A516" s="10"/>
      <c r="B516" s="10"/>
      <c r="C516" s="10"/>
      <c r="D516" s="10"/>
      <c r="E516" s="11"/>
      <c r="F516" s="10"/>
      <c r="G516" s="10"/>
      <c r="H516" s="10"/>
      <c r="I516" s="10"/>
      <c r="J516" s="10"/>
      <c r="K516" s="12"/>
      <c r="L516" s="10"/>
      <c r="M516" s="10"/>
      <c r="N516" s="13"/>
      <c r="O516" s="10"/>
      <c r="P516" s="10"/>
      <c r="Q516" s="10"/>
      <c r="R516" s="18"/>
      <c r="S516" s="10"/>
      <c r="T516" s="10"/>
      <c r="U516" s="13"/>
      <c r="V516" s="13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3"/>
      <c r="AL516" s="14"/>
      <c r="AM516" s="15"/>
      <c r="AN516" s="15"/>
      <c r="AO516" s="13"/>
      <c r="AP516" s="13"/>
      <c r="AQ516" s="16"/>
      <c r="AR516" s="10"/>
      <c r="AS516" s="10"/>
      <c r="AT516" s="10"/>
      <c r="AU516" s="10"/>
      <c r="AV516" s="11"/>
      <c r="AW516" s="11"/>
      <c r="AX516" s="10"/>
      <c r="AY516" s="11"/>
      <c r="AZ516" s="11"/>
      <c r="BA516" s="11"/>
      <c r="BB516" s="10"/>
      <c r="BC516" s="11"/>
      <c r="BD516" s="11"/>
      <c r="BE516" s="11"/>
      <c r="BF516" s="11"/>
      <c r="BG516" s="11"/>
      <c r="BH516" s="11"/>
      <c r="BI516" s="11"/>
      <c r="BJ516" s="11"/>
      <c r="BK516" s="11"/>
      <c r="BL516" s="11"/>
      <c r="BM516" s="11"/>
      <c r="BN516" s="11"/>
      <c r="BO516" s="11"/>
      <c r="BP516" s="11"/>
      <c r="BQ516" s="11"/>
      <c r="BR516" s="11"/>
      <c r="BS516" s="11"/>
      <c r="BT516" s="11"/>
      <c r="BU516" s="11"/>
      <c r="BV516" s="11"/>
      <c r="BW516" s="11"/>
      <c r="BX516" s="11"/>
      <c r="BY516" s="11"/>
      <c r="BZ516" s="11"/>
      <c r="CA516" s="11"/>
      <c r="CB516" s="11"/>
      <c r="CC516" s="17"/>
      <c r="CD516" s="17"/>
      <c r="CE516" s="11"/>
      <c r="CF516" s="13"/>
      <c r="CG516" s="13"/>
      <c r="CH516" s="13"/>
      <c r="CI516" s="13"/>
      <c r="CJ516" s="13"/>
    </row>
    <row r="517" spans="1:88" s="9" customFormat="1" x14ac:dyDescent="0.25">
      <c r="A517" s="10"/>
      <c r="B517" s="10"/>
      <c r="C517" s="10"/>
      <c r="D517" s="10"/>
      <c r="E517" s="11"/>
      <c r="F517" s="10"/>
      <c r="G517" s="10"/>
      <c r="H517" s="10"/>
      <c r="I517" s="10"/>
      <c r="J517" s="10"/>
      <c r="K517" s="12"/>
      <c r="L517" s="10"/>
      <c r="M517" s="10"/>
      <c r="N517" s="13"/>
      <c r="O517" s="10"/>
      <c r="P517" s="10"/>
      <c r="Q517" s="10"/>
      <c r="R517" s="18"/>
      <c r="S517" s="10"/>
      <c r="T517" s="10"/>
      <c r="U517" s="13"/>
      <c r="V517" s="13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3"/>
      <c r="AL517" s="14"/>
      <c r="AM517" s="15"/>
      <c r="AN517" s="15"/>
      <c r="AO517" s="13"/>
      <c r="AP517" s="13"/>
      <c r="AQ517" s="16"/>
      <c r="AR517" s="10"/>
      <c r="AS517" s="10"/>
      <c r="AT517" s="10"/>
      <c r="AU517" s="10"/>
      <c r="AV517" s="11"/>
      <c r="AW517" s="11"/>
      <c r="AX517" s="10"/>
      <c r="AY517" s="11"/>
      <c r="AZ517" s="11"/>
      <c r="BA517" s="11"/>
      <c r="BB517" s="10"/>
      <c r="BC517" s="11"/>
      <c r="BD517" s="11"/>
      <c r="BE517" s="11"/>
      <c r="BF517" s="11"/>
      <c r="BG517" s="11"/>
      <c r="BH517" s="11"/>
      <c r="BI517" s="11"/>
      <c r="BJ517" s="11"/>
      <c r="BK517" s="11"/>
      <c r="BL517" s="11"/>
      <c r="BM517" s="11"/>
      <c r="BN517" s="11"/>
      <c r="BO517" s="11"/>
      <c r="BP517" s="11"/>
      <c r="BQ517" s="11"/>
      <c r="BR517" s="11"/>
      <c r="BS517" s="11"/>
      <c r="BT517" s="11"/>
      <c r="BU517" s="11"/>
      <c r="BV517" s="11"/>
      <c r="BW517" s="11"/>
      <c r="BX517" s="11"/>
      <c r="BY517" s="11"/>
      <c r="BZ517" s="11"/>
      <c r="CA517" s="11"/>
      <c r="CB517" s="11"/>
      <c r="CC517" s="17"/>
      <c r="CD517" s="17"/>
      <c r="CE517" s="11"/>
      <c r="CF517" s="13"/>
      <c r="CG517" s="13"/>
      <c r="CH517" s="13"/>
      <c r="CI517" s="13"/>
      <c r="CJ517" s="13"/>
    </row>
    <row r="518" spans="1:88" s="9" customFormat="1" x14ac:dyDescent="0.25">
      <c r="A518" s="10"/>
      <c r="B518" s="10"/>
      <c r="C518" s="10"/>
      <c r="D518" s="10"/>
      <c r="E518" s="11"/>
      <c r="F518" s="10"/>
      <c r="G518" s="10"/>
      <c r="H518" s="10"/>
      <c r="I518" s="10"/>
      <c r="J518" s="10"/>
      <c r="K518" s="12"/>
      <c r="L518" s="10"/>
      <c r="M518" s="10"/>
      <c r="N518" s="13"/>
      <c r="O518" s="10"/>
      <c r="P518" s="10"/>
      <c r="Q518" s="10"/>
      <c r="R518" s="18"/>
      <c r="S518" s="10"/>
      <c r="T518" s="10"/>
      <c r="U518" s="13"/>
      <c r="V518" s="13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3"/>
      <c r="AL518" s="14"/>
      <c r="AM518" s="15"/>
      <c r="AN518" s="15"/>
      <c r="AO518" s="13"/>
      <c r="AP518" s="13"/>
      <c r="AQ518" s="16"/>
      <c r="AR518" s="10"/>
      <c r="AS518" s="10"/>
      <c r="AT518" s="10"/>
      <c r="AU518" s="10"/>
      <c r="AV518" s="11"/>
      <c r="AW518" s="11"/>
      <c r="AX518" s="10"/>
      <c r="AY518" s="11"/>
      <c r="AZ518" s="11"/>
      <c r="BA518" s="11"/>
      <c r="BB518" s="10"/>
      <c r="BC518" s="11"/>
      <c r="BD518" s="11"/>
      <c r="BE518" s="11"/>
      <c r="BF518" s="11"/>
      <c r="BG518" s="11"/>
      <c r="BH518" s="11"/>
      <c r="BI518" s="11"/>
      <c r="BJ518" s="11"/>
      <c r="BK518" s="11"/>
      <c r="BL518" s="11"/>
      <c r="BM518" s="11"/>
      <c r="BN518" s="11"/>
      <c r="BO518" s="11"/>
      <c r="BP518" s="11"/>
      <c r="BQ518" s="11"/>
      <c r="BR518" s="11"/>
      <c r="BS518" s="11"/>
      <c r="BT518" s="11"/>
      <c r="BU518" s="11"/>
      <c r="BV518" s="11"/>
      <c r="BW518" s="11"/>
      <c r="BX518" s="11"/>
      <c r="BY518" s="11"/>
      <c r="BZ518" s="11"/>
      <c r="CA518" s="11"/>
      <c r="CB518" s="11"/>
      <c r="CC518" s="17"/>
      <c r="CD518" s="17"/>
      <c r="CE518" s="11"/>
      <c r="CF518" s="13"/>
      <c r="CG518" s="13"/>
      <c r="CH518" s="13"/>
      <c r="CI518" s="13"/>
      <c r="CJ518" s="13"/>
    </row>
    <row r="519" spans="1:88" s="9" customFormat="1" x14ac:dyDescent="0.25">
      <c r="A519" s="10"/>
      <c r="B519" s="10"/>
      <c r="C519" s="10"/>
      <c r="D519" s="10"/>
      <c r="E519" s="11"/>
      <c r="F519" s="10"/>
      <c r="G519" s="10"/>
      <c r="H519" s="10"/>
      <c r="I519" s="10"/>
      <c r="J519" s="10"/>
      <c r="K519" s="12"/>
      <c r="L519" s="10"/>
      <c r="M519" s="10"/>
      <c r="N519" s="13"/>
      <c r="O519" s="10"/>
      <c r="P519" s="10"/>
      <c r="Q519" s="10"/>
      <c r="R519" s="18"/>
      <c r="S519" s="10"/>
      <c r="T519" s="10"/>
      <c r="U519" s="13"/>
      <c r="V519" s="13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3"/>
      <c r="AL519" s="14"/>
      <c r="AM519" s="15"/>
      <c r="AN519" s="15"/>
      <c r="AO519" s="13"/>
      <c r="AP519" s="13"/>
      <c r="AQ519" s="16"/>
      <c r="AR519" s="10"/>
      <c r="AS519" s="10"/>
      <c r="AT519" s="10"/>
      <c r="AU519" s="10"/>
      <c r="AV519" s="11"/>
      <c r="AW519" s="11"/>
      <c r="AX519" s="10"/>
      <c r="AY519" s="11"/>
      <c r="AZ519" s="11"/>
      <c r="BA519" s="11"/>
      <c r="BB519" s="10"/>
      <c r="BC519" s="11"/>
      <c r="BD519" s="11"/>
      <c r="BE519" s="11"/>
      <c r="BF519" s="11"/>
      <c r="BG519" s="11"/>
      <c r="BH519" s="11"/>
      <c r="BI519" s="11"/>
      <c r="BJ519" s="11"/>
      <c r="BK519" s="11"/>
      <c r="BL519" s="11"/>
      <c r="BM519" s="11"/>
      <c r="BN519" s="11"/>
      <c r="BO519" s="11"/>
      <c r="BP519" s="11"/>
      <c r="BQ519" s="11"/>
      <c r="BR519" s="11"/>
      <c r="BS519" s="11"/>
      <c r="BT519" s="11"/>
      <c r="BU519" s="11"/>
      <c r="BV519" s="11"/>
      <c r="BW519" s="11"/>
      <c r="BX519" s="11"/>
      <c r="BY519" s="11"/>
      <c r="BZ519" s="11"/>
      <c r="CA519" s="11"/>
      <c r="CB519" s="11"/>
      <c r="CC519" s="17"/>
      <c r="CD519" s="17"/>
      <c r="CE519" s="11"/>
      <c r="CF519" s="13"/>
      <c r="CG519" s="13"/>
      <c r="CH519" s="13"/>
      <c r="CI519" s="13"/>
      <c r="CJ519" s="13"/>
    </row>
    <row r="520" spans="1:88" s="9" customFormat="1" x14ac:dyDescent="0.25">
      <c r="A520" s="10"/>
      <c r="B520" s="10"/>
      <c r="C520" s="10"/>
      <c r="D520" s="10"/>
      <c r="E520" s="11"/>
      <c r="F520" s="10"/>
      <c r="G520" s="10"/>
      <c r="H520" s="10"/>
      <c r="I520" s="10"/>
      <c r="J520" s="10"/>
      <c r="K520" s="12"/>
      <c r="L520" s="10"/>
      <c r="M520" s="10"/>
      <c r="N520" s="13"/>
      <c r="O520" s="10"/>
      <c r="P520" s="10"/>
      <c r="Q520" s="10"/>
      <c r="R520" s="18"/>
      <c r="S520" s="10"/>
      <c r="T520" s="10"/>
      <c r="U520" s="13"/>
      <c r="V520" s="13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3"/>
      <c r="AL520" s="14"/>
      <c r="AM520" s="15"/>
      <c r="AN520" s="15"/>
      <c r="AO520" s="13"/>
      <c r="AP520" s="13"/>
      <c r="AQ520" s="16"/>
      <c r="AR520" s="10"/>
      <c r="AS520" s="10"/>
      <c r="AT520" s="10"/>
      <c r="AU520" s="10"/>
      <c r="AV520" s="11"/>
      <c r="AW520" s="11"/>
      <c r="AX520" s="10"/>
      <c r="AY520" s="11"/>
      <c r="AZ520" s="11"/>
      <c r="BA520" s="11"/>
      <c r="BB520" s="10"/>
      <c r="BC520" s="11"/>
      <c r="BD520" s="11"/>
      <c r="BE520" s="11"/>
      <c r="BF520" s="11"/>
      <c r="BG520" s="11"/>
      <c r="BH520" s="11"/>
      <c r="BI520" s="11"/>
      <c r="BJ520" s="11"/>
      <c r="BK520" s="11"/>
      <c r="BL520" s="11"/>
      <c r="BM520" s="11"/>
      <c r="BN520" s="11"/>
      <c r="BO520" s="11"/>
      <c r="BP520" s="11"/>
      <c r="BQ520" s="11"/>
      <c r="BR520" s="11"/>
      <c r="BS520" s="11"/>
      <c r="BT520" s="11"/>
      <c r="BU520" s="11"/>
      <c r="BV520" s="11"/>
      <c r="BW520" s="11"/>
      <c r="BX520" s="11"/>
      <c r="BY520" s="11"/>
      <c r="BZ520" s="11"/>
      <c r="CA520" s="11"/>
      <c r="CB520" s="11"/>
      <c r="CC520" s="17"/>
      <c r="CD520" s="17"/>
      <c r="CE520" s="11"/>
      <c r="CF520" s="13"/>
      <c r="CG520" s="13"/>
      <c r="CH520" s="13"/>
      <c r="CI520" s="13"/>
      <c r="CJ520" s="13"/>
    </row>
    <row r="521" spans="1:88" s="9" customFormat="1" x14ac:dyDescent="0.25">
      <c r="A521" s="10"/>
      <c r="B521" s="10"/>
      <c r="C521" s="10"/>
      <c r="D521" s="10"/>
      <c r="E521" s="11"/>
      <c r="F521" s="10"/>
      <c r="G521" s="10"/>
      <c r="H521" s="10"/>
      <c r="I521" s="10"/>
      <c r="J521" s="10"/>
      <c r="K521" s="12"/>
      <c r="L521" s="10"/>
      <c r="M521" s="10"/>
      <c r="N521" s="13"/>
      <c r="O521" s="10"/>
      <c r="P521" s="10"/>
      <c r="Q521" s="10"/>
      <c r="R521" s="18"/>
      <c r="S521" s="10"/>
      <c r="T521" s="10"/>
      <c r="U521" s="13"/>
      <c r="V521" s="13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3"/>
      <c r="AL521" s="14"/>
      <c r="AM521" s="15"/>
      <c r="AN521" s="15"/>
      <c r="AO521" s="13"/>
      <c r="AP521" s="13"/>
      <c r="AQ521" s="16"/>
      <c r="AR521" s="10"/>
      <c r="AS521" s="10"/>
      <c r="AT521" s="10"/>
      <c r="AU521" s="10"/>
      <c r="AV521" s="11"/>
      <c r="AW521" s="11"/>
      <c r="AX521" s="10"/>
      <c r="AY521" s="11"/>
      <c r="AZ521" s="11"/>
      <c r="BA521" s="11"/>
      <c r="BB521" s="10"/>
      <c r="BC521" s="11"/>
      <c r="BD521" s="11"/>
      <c r="BE521" s="11"/>
      <c r="BF521" s="11"/>
      <c r="BG521" s="11"/>
      <c r="BH521" s="11"/>
      <c r="BI521" s="11"/>
      <c r="BJ521" s="11"/>
      <c r="BK521" s="11"/>
      <c r="BL521" s="11"/>
      <c r="BM521" s="11"/>
      <c r="BN521" s="11"/>
      <c r="BO521" s="11"/>
      <c r="BP521" s="11"/>
      <c r="BQ521" s="11"/>
      <c r="BR521" s="11"/>
      <c r="BS521" s="11"/>
      <c r="BT521" s="11"/>
      <c r="BU521" s="11"/>
      <c r="BV521" s="11"/>
      <c r="BW521" s="11"/>
      <c r="BX521" s="11"/>
      <c r="BY521" s="11"/>
      <c r="BZ521" s="11"/>
      <c r="CA521" s="11"/>
      <c r="CB521" s="11"/>
      <c r="CC521" s="17"/>
      <c r="CD521" s="17"/>
      <c r="CE521" s="11"/>
      <c r="CF521" s="13"/>
      <c r="CG521" s="13"/>
      <c r="CH521" s="13"/>
      <c r="CI521" s="13"/>
      <c r="CJ521" s="13"/>
    </row>
    <row r="522" spans="1:88" s="9" customFormat="1" x14ac:dyDescent="0.25">
      <c r="A522" s="10"/>
      <c r="B522" s="10"/>
      <c r="C522" s="10"/>
      <c r="D522" s="10"/>
      <c r="E522" s="11"/>
      <c r="F522" s="10"/>
      <c r="G522" s="10"/>
      <c r="H522" s="10"/>
      <c r="I522" s="10"/>
      <c r="J522" s="10"/>
      <c r="K522" s="12"/>
      <c r="L522" s="10"/>
      <c r="M522" s="10"/>
      <c r="N522" s="13"/>
      <c r="O522" s="10"/>
      <c r="P522" s="10"/>
      <c r="Q522" s="10"/>
      <c r="R522" s="18"/>
      <c r="S522" s="10"/>
      <c r="T522" s="10"/>
      <c r="U522" s="13"/>
      <c r="V522" s="13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3"/>
      <c r="AL522" s="14"/>
      <c r="AM522" s="15"/>
      <c r="AN522" s="15"/>
      <c r="AO522" s="13"/>
      <c r="AP522" s="13"/>
      <c r="AQ522" s="16"/>
      <c r="AR522" s="10"/>
      <c r="AS522" s="10"/>
      <c r="AT522" s="10"/>
      <c r="AU522" s="10"/>
      <c r="AV522" s="11"/>
      <c r="AW522" s="11"/>
      <c r="AX522" s="10"/>
      <c r="AY522" s="11"/>
      <c r="AZ522" s="11"/>
      <c r="BA522" s="11"/>
      <c r="BB522" s="10"/>
      <c r="BC522" s="11"/>
      <c r="BD522" s="11"/>
      <c r="BE522" s="11"/>
      <c r="BF522" s="11"/>
      <c r="BG522" s="11"/>
      <c r="BH522" s="11"/>
      <c r="BI522" s="11"/>
      <c r="BJ522" s="11"/>
      <c r="BK522" s="11"/>
      <c r="BL522" s="11"/>
      <c r="BM522" s="11"/>
      <c r="BN522" s="11"/>
      <c r="BO522" s="11"/>
      <c r="BP522" s="11"/>
      <c r="BQ522" s="11"/>
      <c r="BR522" s="11"/>
      <c r="BS522" s="11"/>
      <c r="BT522" s="11"/>
      <c r="BU522" s="11"/>
      <c r="BV522" s="11"/>
      <c r="BW522" s="11"/>
      <c r="BX522" s="11"/>
      <c r="BY522" s="11"/>
      <c r="BZ522" s="11"/>
      <c r="CA522" s="11"/>
      <c r="CB522" s="11"/>
      <c r="CC522" s="17"/>
      <c r="CD522" s="17"/>
      <c r="CE522" s="11"/>
      <c r="CF522" s="13"/>
      <c r="CG522" s="13"/>
      <c r="CH522" s="13"/>
      <c r="CI522" s="13"/>
      <c r="CJ522" s="13"/>
    </row>
    <row r="523" spans="1:88" s="9" customFormat="1" x14ac:dyDescent="0.25">
      <c r="A523" s="10"/>
      <c r="B523" s="10"/>
      <c r="C523" s="10"/>
      <c r="D523" s="10"/>
      <c r="E523" s="11"/>
      <c r="F523" s="10"/>
      <c r="G523" s="10"/>
      <c r="H523" s="10"/>
      <c r="I523" s="10"/>
      <c r="J523" s="10"/>
      <c r="K523" s="12"/>
      <c r="L523" s="10"/>
      <c r="M523" s="10"/>
      <c r="N523" s="13"/>
      <c r="O523" s="10"/>
      <c r="P523" s="10"/>
      <c r="Q523" s="10"/>
      <c r="R523" s="18"/>
      <c r="S523" s="10"/>
      <c r="T523" s="10"/>
      <c r="U523" s="13"/>
      <c r="V523" s="13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3"/>
      <c r="AL523" s="14"/>
      <c r="AM523" s="15"/>
      <c r="AN523" s="15"/>
      <c r="AO523" s="13"/>
      <c r="AP523" s="13"/>
      <c r="AQ523" s="16"/>
      <c r="AR523" s="10"/>
      <c r="AS523" s="10"/>
      <c r="AT523" s="10"/>
      <c r="AU523" s="10"/>
      <c r="AV523" s="11"/>
      <c r="AW523" s="11"/>
      <c r="AX523" s="10"/>
      <c r="AY523" s="11"/>
      <c r="AZ523" s="11"/>
      <c r="BA523" s="11"/>
      <c r="BB523" s="10"/>
      <c r="BC523" s="11"/>
      <c r="BD523" s="11"/>
      <c r="BE523" s="11"/>
      <c r="BF523" s="11"/>
      <c r="BG523" s="11"/>
      <c r="BH523" s="11"/>
      <c r="BI523" s="11"/>
      <c r="BJ523" s="11"/>
      <c r="BK523" s="11"/>
      <c r="BL523" s="11"/>
      <c r="BM523" s="11"/>
      <c r="BN523" s="11"/>
      <c r="BO523" s="11"/>
      <c r="BP523" s="11"/>
      <c r="BQ523" s="11"/>
      <c r="BR523" s="11"/>
      <c r="BS523" s="11"/>
      <c r="BT523" s="11"/>
      <c r="BU523" s="11"/>
      <c r="BV523" s="11"/>
      <c r="BW523" s="11"/>
      <c r="BX523" s="11"/>
      <c r="BY523" s="11"/>
      <c r="BZ523" s="11"/>
      <c r="CA523" s="11"/>
      <c r="CB523" s="11"/>
      <c r="CC523" s="17"/>
      <c r="CD523" s="17"/>
      <c r="CE523" s="11"/>
      <c r="CF523" s="13"/>
      <c r="CG523" s="13"/>
      <c r="CH523" s="13"/>
      <c r="CI523" s="13"/>
      <c r="CJ523" s="13"/>
    </row>
    <row r="524" spans="1:88" s="9" customFormat="1" x14ac:dyDescent="0.25">
      <c r="A524" s="10"/>
      <c r="B524" s="10"/>
      <c r="C524" s="10"/>
      <c r="D524" s="10"/>
      <c r="E524" s="11"/>
      <c r="F524" s="10"/>
      <c r="G524" s="10"/>
      <c r="H524" s="10"/>
      <c r="I524" s="10"/>
      <c r="J524" s="10"/>
      <c r="K524" s="12"/>
      <c r="L524" s="10"/>
      <c r="M524" s="10"/>
      <c r="N524" s="13"/>
      <c r="O524" s="10"/>
      <c r="P524" s="10"/>
      <c r="Q524" s="10"/>
      <c r="R524" s="18"/>
      <c r="S524" s="10"/>
      <c r="T524" s="10"/>
      <c r="U524" s="13"/>
      <c r="V524" s="13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3"/>
      <c r="AL524" s="14"/>
      <c r="AM524" s="15"/>
      <c r="AN524" s="15"/>
      <c r="AO524" s="13"/>
      <c r="AP524" s="13"/>
      <c r="AQ524" s="16"/>
      <c r="AR524" s="10"/>
      <c r="AS524" s="10"/>
      <c r="AT524" s="10"/>
      <c r="AU524" s="10"/>
      <c r="AV524" s="11"/>
      <c r="AW524" s="11"/>
      <c r="AX524" s="10"/>
      <c r="AY524" s="11"/>
      <c r="AZ524" s="11"/>
      <c r="BA524" s="11"/>
      <c r="BB524" s="10"/>
      <c r="BC524" s="11"/>
      <c r="BD524" s="11"/>
      <c r="BE524" s="11"/>
      <c r="BF524" s="11"/>
      <c r="BG524" s="11"/>
      <c r="BH524" s="11"/>
      <c r="BI524" s="11"/>
      <c r="BJ524" s="11"/>
      <c r="BK524" s="11"/>
      <c r="BL524" s="11"/>
      <c r="BM524" s="11"/>
      <c r="BN524" s="11"/>
      <c r="BO524" s="11"/>
      <c r="BP524" s="11"/>
      <c r="BQ524" s="11"/>
      <c r="BR524" s="11"/>
      <c r="BS524" s="11"/>
      <c r="BT524" s="11"/>
      <c r="BU524" s="11"/>
      <c r="BV524" s="11"/>
      <c r="BW524" s="11"/>
      <c r="BX524" s="11"/>
      <c r="BY524" s="11"/>
      <c r="BZ524" s="11"/>
      <c r="CA524" s="11"/>
      <c r="CB524" s="11"/>
      <c r="CC524" s="17"/>
      <c r="CD524" s="17"/>
      <c r="CE524" s="11"/>
      <c r="CF524" s="13"/>
      <c r="CG524" s="13"/>
      <c r="CH524" s="13"/>
      <c r="CI524" s="13"/>
      <c r="CJ524" s="13"/>
    </row>
    <row r="525" spans="1:88" s="9" customFormat="1" x14ac:dyDescent="0.25">
      <c r="A525" s="10"/>
      <c r="B525" s="10"/>
      <c r="C525" s="10"/>
      <c r="D525" s="10"/>
      <c r="E525" s="11"/>
      <c r="F525" s="10"/>
      <c r="G525" s="10"/>
      <c r="H525" s="10"/>
      <c r="I525" s="10"/>
      <c r="J525" s="10"/>
      <c r="K525" s="12"/>
      <c r="L525" s="10"/>
      <c r="M525" s="10"/>
      <c r="N525" s="13"/>
      <c r="O525" s="10"/>
      <c r="P525" s="10"/>
      <c r="Q525" s="10"/>
      <c r="R525" s="18"/>
      <c r="S525" s="10"/>
      <c r="T525" s="10"/>
      <c r="U525" s="13"/>
      <c r="V525" s="13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3"/>
      <c r="AL525" s="14"/>
      <c r="AM525" s="15"/>
      <c r="AN525" s="15"/>
      <c r="AO525" s="13"/>
      <c r="AP525" s="13"/>
      <c r="AQ525" s="16"/>
      <c r="AR525" s="10"/>
      <c r="AS525" s="10"/>
      <c r="AT525" s="10"/>
      <c r="AU525" s="10"/>
      <c r="AV525" s="11"/>
      <c r="AW525" s="11"/>
      <c r="AX525" s="10"/>
      <c r="AY525" s="11"/>
      <c r="AZ525" s="11"/>
      <c r="BA525" s="11"/>
      <c r="BB525" s="10"/>
      <c r="BC525" s="11"/>
      <c r="BD525" s="11"/>
      <c r="BE525" s="11"/>
      <c r="BF525" s="11"/>
      <c r="BG525" s="11"/>
      <c r="BH525" s="11"/>
      <c r="BI525" s="11"/>
      <c r="BJ525" s="11"/>
      <c r="BK525" s="11"/>
      <c r="BL525" s="11"/>
      <c r="BM525" s="11"/>
      <c r="BN525" s="11"/>
      <c r="BO525" s="11"/>
      <c r="BP525" s="11"/>
      <c r="BQ525" s="11"/>
      <c r="BR525" s="11"/>
      <c r="BS525" s="11"/>
      <c r="BT525" s="11"/>
      <c r="BU525" s="11"/>
      <c r="BV525" s="11"/>
      <c r="BW525" s="11"/>
      <c r="BX525" s="11"/>
      <c r="BY525" s="11"/>
      <c r="BZ525" s="11"/>
      <c r="CA525" s="11"/>
      <c r="CB525" s="11"/>
      <c r="CC525" s="17"/>
      <c r="CD525" s="17"/>
      <c r="CE525" s="11"/>
      <c r="CF525" s="13"/>
      <c r="CG525" s="13"/>
      <c r="CH525" s="13"/>
      <c r="CI525" s="13"/>
      <c r="CJ525" s="13"/>
    </row>
    <row r="526" spans="1:88" s="9" customFormat="1" x14ac:dyDescent="0.25">
      <c r="A526" s="10"/>
      <c r="B526" s="10"/>
      <c r="C526" s="10"/>
      <c r="D526" s="10"/>
      <c r="E526" s="11"/>
      <c r="F526" s="10"/>
      <c r="G526" s="10"/>
      <c r="H526" s="10"/>
      <c r="I526" s="10"/>
      <c r="J526" s="10"/>
      <c r="K526" s="12"/>
      <c r="L526" s="10"/>
      <c r="M526" s="10"/>
      <c r="N526" s="13"/>
      <c r="O526" s="10"/>
      <c r="P526" s="10"/>
      <c r="Q526" s="10"/>
      <c r="R526" s="18"/>
      <c r="S526" s="10"/>
      <c r="T526" s="10"/>
      <c r="U526" s="13"/>
      <c r="V526" s="13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3"/>
      <c r="AL526" s="14"/>
      <c r="AM526" s="15"/>
      <c r="AN526" s="15"/>
      <c r="AO526" s="13"/>
      <c r="AP526" s="13"/>
      <c r="AQ526" s="16"/>
      <c r="AR526" s="10"/>
      <c r="AS526" s="10"/>
      <c r="AT526" s="10"/>
      <c r="AU526" s="10"/>
      <c r="AV526" s="11"/>
      <c r="AW526" s="11"/>
      <c r="AX526" s="10"/>
      <c r="AY526" s="11"/>
      <c r="AZ526" s="11"/>
      <c r="BA526" s="11"/>
      <c r="BB526" s="10"/>
      <c r="BC526" s="11"/>
      <c r="BD526" s="11"/>
      <c r="BE526" s="11"/>
      <c r="BF526" s="11"/>
      <c r="BG526" s="11"/>
      <c r="BH526" s="11"/>
      <c r="BI526" s="11"/>
      <c r="BJ526" s="11"/>
      <c r="BK526" s="11"/>
      <c r="BL526" s="11"/>
      <c r="BM526" s="11"/>
      <c r="BN526" s="11"/>
      <c r="BO526" s="11"/>
      <c r="BP526" s="11"/>
      <c r="BQ526" s="11"/>
      <c r="BR526" s="11"/>
      <c r="BS526" s="11"/>
      <c r="BT526" s="11"/>
      <c r="BU526" s="11"/>
      <c r="BV526" s="11"/>
      <c r="BW526" s="11"/>
      <c r="BX526" s="11"/>
      <c r="BY526" s="11"/>
      <c r="BZ526" s="11"/>
      <c r="CA526" s="11"/>
      <c r="CB526" s="11"/>
      <c r="CC526" s="17"/>
      <c r="CD526" s="17"/>
      <c r="CE526" s="11"/>
      <c r="CF526" s="13"/>
      <c r="CG526" s="13"/>
      <c r="CH526" s="13"/>
      <c r="CI526" s="13"/>
      <c r="CJ526" s="13"/>
    </row>
    <row r="527" spans="1:88" s="9" customFormat="1" x14ac:dyDescent="0.25">
      <c r="A527" s="10"/>
      <c r="B527" s="10"/>
      <c r="C527" s="10"/>
      <c r="D527" s="10"/>
      <c r="E527" s="11"/>
      <c r="F527" s="10"/>
      <c r="G527" s="10"/>
      <c r="H527" s="10"/>
      <c r="I527" s="10"/>
      <c r="J527" s="10"/>
      <c r="K527" s="12"/>
      <c r="L527" s="10"/>
      <c r="M527" s="10"/>
      <c r="N527" s="13"/>
      <c r="O527" s="10"/>
      <c r="P527" s="10"/>
      <c r="Q527" s="10"/>
      <c r="R527" s="18"/>
      <c r="S527" s="10"/>
      <c r="T527" s="10"/>
      <c r="U527" s="13"/>
      <c r="V527" s="13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3"/>
      <c r="AL527" s="14"/>
      <c r="AM527" s="15"/>
      <c r="AN527" s="15"/>
      <c r="AO527" s="13"/>
      <c r="AP527" s="13"/>
      <c r="AQ527" s="16"/>
      <c r="AR527" s="10"/>
      <c r="AS527" s="10"/>
      <c r="AT527" s="10"/>
      <c r="AU527" s="10"/>
      <c r="AV527" s="11"/>
      <c r="AW527" s="11"/>
      <c r="AX527" s="10"/>
      <c r="AY527" s="11"/>
      <c r="AZ527" s="11"/>
      <c r="BA527" s="11"/>
      <c r="BB527" s="10"/>
      <c r="BC527" s="11"/>
      <c r="BD527" s="11"/>
      <c r="BE527" s="11"/>
      <c r="BF527" s="11"/>
      <c r="BG527" s="11"/>
      <c r="BH527" s="11"/>
      <c r="BI527" s="11"/>
      <c r="BJ527" s="11"/>
      <c r="BK527" s="11"/>
      <c r="BL527" s="11"/>
      <c r="BM527" s="11"/>
      <c r="BN527" s="11"/>
      <c r="BO527" s="11"/>
      <c r="BP527" s="11"/>
      <c r="BQ527" s="11"/>
      <c r="BR527" s="11"/>
      <c r="BS527" s="11"/>
      <c r="BT527" s="11"/>
      <c r="BU527" s="11"/>
      <c r="BV527" s="11"/>
      <c r="BW527" s="11"/>
      <c r="BX527" s="11"/>
      <c r="BY527" s="11"/>
      <c r="BZ527" s="11"/>
      <c r="CA527" s="11"/>
      <c r="CB527" s="11"/>
      <c r="CC527" s="17"/>
      <c r="CD527" s="17"/>
      <c r="CE527" s="11"/>
      <c r="CF527" s="13"/>
      <c r="CG527" s="13"/>
      <c r="CH527" s="13"/>
      <c r="CI527" s="13"/>
      <c r="CJ527" s="13"/>
    </row>
    <row r="528" spans="1:88" s="9" customFormat="1" x14ac:dyDescent="0.25">
      <c r="A528" s="10"/>
      <c r="B528" s="10"/>
      <c r="C528" s="10"/>
      <c r="D528" s="10"/>
      <c r="E528" s="11"/>
      <c r="F528" s="10"/>
      <c r="G528" s="10"/>
      <c r="H528" s="10"/>
      <c r="I528" s="10"/>
      <c r="J528" s="10"/>
      <c r="K528" s="12"/>
      <c r="L528" s="10"/>
      <c r="M528" s="10"/>
      <c r="N528" s="13"/>
      <c r="O528" s="10"/>
      <c r="P528" s="10"/>
      <c r="Q528" s="10"/>
      <c r="R528" s="18"/>
      <c r="S528" s="10"/>
      <c r="T528" s="10"/>
      <c r="U528" s="13"/>
      <c r="V528" s="13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3"/>
      <c r="AL528" s="14"/>
      <c r="AM528" s="15"/>
      <c r="AN528" s="15"/>
      <c r="AO528" s="13"/>
      <c r="AP528" s="13"/>
      <c r="AQ528" s="16"/>
      <c r="AR528" s="10"/>
      <c r="AS528" s="10"/>
      <c r="AT528" s="10"/>
      <c r="AU528" s="10"/>
      <c r="AV528" s="11"/>
      <c r="AW528" s="11"/>
      <c r="AX528" s="10"/>
      <c r="AY528" s="11"/>
      <c r="AZ528" s="11"/>
      <c r="BA528" s="11"/>
      <c r="BB528" s="10"/>
      <c r="BC528" s="11"/>
      <c r="BD528" s="11"/>
      <c r="BE528" s="11"/>
      <c r="BF528" s="11"/>
      <c r="BG528" s="11"/>
      <c r="BH528" s="11"/>
      <c r="BI528" s="11"/>
      <c r="BJ528" s="11"/>
      <c r="BK528" s="11"/>
      <c r="BL528" s="11"/>
      <c r="BM528" s="11"/>
      <c r="BN528" s="11"/>
      <c r="BO528" s="11"/>
      <c r="BP528" s="11"/>
      <c r="BQ528" s="11"/>
      <c r="BR528" s="11"/>
      <c r="BS528" s="11"/>
      <c r="BT528" s="11"/>
      <c r="BU528" s="11"/>
      <c r="BV528" s="11"/>
      <c r="BW528" s="11"/>
      <c r="BX528" s="11"/>
      <c r="BY528" s="11"/>
      <c r="BZ528" s="11"/>
      <c r="CA528" s="11"/>
      <c r="CB528" s="11"/>
      <c r="CC528" s="17"/>
      <c r="CD528" s="17"/>
      <c r="CE528" s="11"/>
      <c r="CF528" s="13"/>
      <c r="CG528" s="13"/>
      <c r="CH528" s="13"/>
      <c r="CI528" s="13"/>
      <c r="CJ528" s="13"/>
    </row>
    <row r="529" spans="1:88" s="9" customFormat="1" x14ac:dyDescent="0.25">
      <c r="A529" s="10"/>
      <c r="B529" s="10"/>
      <c r="C529" s="10"/>
      <c r="D529" s="10"/>
      <c r="E529" s="11"/>
      <c r="F529" s="10"/>
      <c r="G529" s="10"/>
      <c r="H529" s="10"/>
      <c r="I529" s="10"/>
      <c r="J529" s="10"/>
      <c r="K529" s="12"/>
      <c r="L529" s="10"/>
      <c r="M529" s="10"/>
      <c r="N529" s="13"/>
      <c r="O529" s="10"/>
      <c r="P529" s="10"/>
      <c r="Q529" s="10"/>
      <c r="R529" s="18"/>
      <c r="S529" s="10"/>
      <c r="T529" s="10"/>
      <c r="U529" s="13"/>
      <c r="V529" s="13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3"/>
      <c r="AL529" s="14"/>
      <c r="AM529" s="15"/>
      <c r="AN529" s="15"/>
      <c r="AO529" s="13"/>
      <c r="AP529" s="13"/>
      <c r="AQ529" s="16"/>
      <c r="AR529" s="10"/>
      <c r="AS529" s="10"/>
      <c r="AT529" s="10"/>
      <c r="AU529" s="10"/>
      <c r="AV529" s="11"/>
      <c r="AW529" s="11"/>
      <c r="AX529" s="10"/>
      <c r="AY529" s="11"/>
      <c r="AZ529" s="11"/>
      <c r="BA529" s="11"/>
      <c r="BB529" s="10"/>
      <c r="BC529" s="11"/>
      <c r="BD529" s="11"/>
      <c r="BE529" s="11"/>
      <c r="BF529" s="11"/>
      <c r="BG529" s="11"/>
      <c r="BH529" s="11"/>
      <c r="BI529" s="11"/>
      <c r="BJ529" s="11"/>
      <c r="BK529" s="11"/>
      <c r="BL529" s="11"/>
      <c r="BM529" s="11"/>
      <c r="BN529" s="11"/>
      <c r="BO529" s="11"/>
      <c r="BP529" s="11"/>
      <c r="BQ529" s="11"/>
      <c r="BR529" s="11"/>
      <c r="BS529" s="11"/>
      <c r="BT529" s="11"/>
      <c r="BU529" s="11"/>
      <c r="BV529" s="11"/>
      <c r="BW529" s="11"/>
      <c r="BX529" s="11"/>
      <c r="BY529" s="11"/>
      <c r="BZ529" s="11"/>
      <c r="CA529" s="11"/>
      <c r="CB529" s="11"/>
      <c r="CC529" s="17"/>
      <c r="CD529" s="17"/>
      <c r="CE529" s="11"/>
      <c r="CF529" s="13"/>
      <c r="CG529" s="13"/>
      <c r="CH529" s="13"/>
      <c r="CI529" s="13"/>
      <c r="CJ529" s="13"/>
    </row>
    <row r="530" spans="1:88" s="9" customFormat="1" x14ac:dyDescent="0.25">
      <c r="A530" s="10"/>
      <c r="B530" s="10"/>
      <c r="C530" s="10"/>
      <c r="D530" s="10"/>
      <c r="E530" s="11"/>
      <c r="F530" s="10"/>
      <c r="G530" s="10"/>
      <c r="H530" s="10"/>
      <c r="I530" s="10"/>
      <c r="J530" s="10"/>
      <c r="K530" s="12"/>
      <c r="L530" s="10"/>
      <c r="M530" s="10"/>
      <c r="N530" s="13"/>
      <c r="O530" s="10"/>
      <c r="P530" s="10"/>
      <c r="Q530" s="10"/>
      <c r="R530" s="18"/>
      <c r="S530" s="10"/>
      <c r="T530" s="10"/>
      <c r="U530" s="13"/>
      <c r="V530" s="13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3"/>
      <c r="AL530" s="14"/>
      <c r="AM530" s="15"/>
      <c r="AN530" s="15"/>
      <c r="AO530" s="13"/>
      <c r="AP530" s="13"/>
      <c r="AQ530" s="16"/>
      <c r="AR530" s="10"/>
      <c r="AS530" s="10"/>
      <c r="AT530" s="10"/>
      <c r="AU530" s="10"/>
      <c r="AV530" s="11"/>
      <c r="AW530" s="11"/>
      <c r="AX530" s="10"/>
      <c r="AY530" s="11"/>
      <c r="AZ530" s="11"/>
      <c r="BA530" s="11"/>
      <c r="BB530" s="10"/>
      <c r="BC530" s="11"/>
      <c r="BD530" s="11"/>
      <c r="BE530" s="11"/>
      <c r="BF530" s="11"/>
      <c r="BG530" s="11"/>
      <c r="BH530" s="11"/>
      <c r="BI530" s="11"/>
      <c r="BJ530" s="11"/>
      <c r="BK530" s="11"/>
      <c r="BL530" s="11"/>
      <c r="BM530" s="11"/>
      <c r="BN530" s="11"/>
      <c r="BO530" s="11"/>
      <c r="BP530" s="11"/>
      <c r="BQ530" s="11"/>
      <c r="BR530" s="11"/>
      <c r="BS530" s="11"/>
      <c r="BT530" s="11"/>
      <c r="BU530" s="11"/>
      <c r="BV530" s="11"/>
      <c r="BW530" s="11"/>
      <c r="BX530" s="11"/>
      <c r="BY530" s="11"/>
      <c r="BZ530" s="11"/>
      <c r="CA530" s="11"/>
      <c r="CB530" s="11"/>
      <c r="CC530" s="17"/>
      <c r="CD530" s="17"/>
      <c r="CE530" s="11"/>
      <c r="CF530" s="13"/>
      <c r="CG530" s="13"/>
      <c r="CH530" s="13"/>
      <c r="CI530" s="13"/>
      <c r="CJ530" s="13"/>
    </row>
    <row r="531" spans="1:88" s="9" customFormat="1" x14ac:dyDescent="0.25">
      <c r="A531" s="10"/>
      <c r="B531" s="10"/>
      <c r="C531" s="10"/>
      <c r="D531" s="10"/>
      <c r="E531" s="11"/>
      <c r="F531" s="10"/>
      <c r="G531" s="10"/>
      <c r="H531" s="10"/>
      <c r="I531" s="10"/>
      <c r="J531" s="10"/>
      <c r="K531" s="12"/>
      <c r="L531" s="10"/>
      <c r="M531" s="10"/>
      <c r="N531" s="13"/>
      <c r="O531" s="10"/>
      <c r="P531" s="10"/>
      <c r="Q531" s="10"/>
      <c r="R531" s="18"/>
      <c r="S531" s="10"/>
      <c r="T531" s="10"/>
      <c r="U531" s="13"/>
      <c r="V531" s="13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3"/>
      <c r="AL531" s="14"/>
      <c r="AM531" s="15"/>
      <c r="AN531" s="15"/>
      <c r="AO531" s="13"/>
      <c r="AP531" s="13"/>
      <c r="AQ531" s="16"/>
      <c r="AR531" s="10"/>
      <c r="AS531" s="10"/>
      <c r="AT531" s="10"/>
      <c r="AU531" s="10"/>
      <c r="AV531" s="11"/>
      <c r="AW531" s="11"/>
      <c r="AX531" s="10"/>
      <c r="AY531" s="11"/>
      <c r="AZ531" s="11"/>
      <c r="BA531" s="11"/>
      <c r="BB531" s="10"/>
      <c r="BC531" s="11"/>
      <c r="BD531" s="11"/>
      <c r="BE531" s="11"/>
      <c r="BF531" s="11"/>
      <c r="BG531" s="11"/>
      <c r="BH531" s="11"/>
      <c r="BI531" s="11"/>
      <c r="BJ531" s="11"/>
      <c r="BK531" s="11"/>
      <c r="BL531" s="11"/>
      <c r="BM531" s="11"/>
      <c r="BN531" s="11"/>
      <c r="BO531" s="11"/>
      <c r="BP531" s="11"/>
      <c r="BQ531" s="11"/>
      <c r="BR531" s="11"/>
      <c r="BS531" s="11"/>
      <c r="BT531" s="11"/>
      <c r="BU531" s="11"/>
      <c r="BV531" s="11"/>
      <c r="BW531" s="11"/>
      <c r="BX531" s="11"/>
      <c r="BY531" s="11"/>
      <c r="BZ531" s="11"/>
      <c r="CA531" s="11"/>
      <c r="CB531" s="11"/>
      <c r="CC531" s="17"/>
      <c r="CD531" s="17"/>
      <c r="CE531" s="11"/>
      <c r="CF531" s="13"/>
      <c r="CG531" s="13"/>
      <c r="CH531" s="13"/>
      <c r="CI531" s="13"/>
      <c r="CJ531" s="13"/>
    </row>
    <row r="532" spans="1:88" s="9" customFormat="1" x14ac:dyDescent="0.25">
      <c r="A532" s="10"/>
      <c r="B532" s="10"/>
      <c r="C532" s="10"/>
      <c r="D532" s="10"/>
      <c r="E532" s="11"/>
      <c r="F532" s="10"/>
      <c r="G532" s="10"/>
      <c r="H532" s="10"/>
      <c r="I532" s="10"/>
      <c r="J532" s="10"/>
      <c r="K532" s="12"/>
      <c r="L532" s="10"/>
      <c r="M532" s="10"/>
      <c r="N532" s="13"/>
      <c r="O532" s="10"/>
      <c r="P532" s="10"/>
      <c r="Q532" s="10"/>
      <c r="R532" s="18"/>
      <c r="S532" s="10"/>
      <c r="T532" s="10"/>
      <c r="U532" s="13"/>
      <c r="V532" s="13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3"/>
      <c r="AL532" s="14"/>
      <c r="AM532" s="15"/>
      <c r="AN532" s="15"/>
      <c r="AO532" s="13"/>
      <c r="AP532" s="13"/>
      <c r="AQ532" s="16"/>
      <c r="AR532" s="10"/>
      <c r="AS532" s="10"/>
      <c r="AT532" s="10"/>
      <c r="AU532" s="10"/>
      <c r="AV532" s="11"/>
      <c r="AW532" s="11"/>
      <c r="AX532" s="10"/>
      <c r="AY532" s="11"/>
      <c r="AZ532" s="11"/>
      <c r="BA532" s="11"/>
      <c r="BB532" s="10"/>
      <c r="BC532" s="11"/>
      <c r="BD532" s="11"/>
      <c r="BE532" s="11"/>
      <c r="BF532" s="11"/>
      <c r="BG532" s="11"/>
      <c r="BH532" s="11"/>
      <c r="BI532" s="11"/>
      <c r="BJ532" s="11"/>
      <c r="BK532" s="11"/>
      <c r="BL532" s="11"/>
      <c r="BM532" s="11"/>
      <c r="BN532" s="11"/>
      <c r="BO532" s="11"/>
      <c r="BP532" s="11"/>
      <c r="BQ532" s="11"/>
      <c r="BR532" s="11"/>
      <c r="BS532" s="11"/>
      <c r="BT532" s="11"/>
      <c r="BU532" s="11"/>
      <c r="BV532" s="11"/>
      <c r="BW532" s="11"/>
      <c r="BX532" s="11"/>
      <c r="BY532" s="11"/>
      <c r="BZ532" s="11"/>
      <c r="CA532" s="11"/>
      <c r="CB532" s="11"/>
      <c r="CC532" s="17"/>
      <c r="CD532" s="17"/>
      <c r="CE532" s="11"/>
      <c r="CF532" s="13"/>
      <c r="CG532" s="13"/>
      <c r="CH532" s="13"/>
      <c r="CI532" s="13"/>
      <c r="CJ532" s="13"/>
    </row>
    <row r="533" spans="1:88" s="9" customFormat="1" x14ac:dyDescent="0.25">
      <c r="A533" s="10"/>
      <c r="B533" s="10"/>
      <c r="C533" s="10"/>
      <c r="D533" s="10"/>
      <c r="E533" s="11"/>
      <c r="F533" s="10"/>
      <c r="G533" s="10"/>
      <c r="H533" s="10"/>
      <c r="I533" s="10"/>
      <c r="J533" s="10"/>
      <c r="K533" s="12"/>
      <c r="L533" s="10"/>
      <c r="M533" s="10"/>
      <c r="N533" s="13"/>
      <c r="O533" s="10"/>
      <c r="P533" s="10"/>
      <c r="Q533" s="10"/>
      <c r="R533" s="18"/>
      <c r="S533" s="10"/>
      <c r="T533" s="10"/>
      <c r="U533" s="13"/>
      <c r="V533" s="13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3"/>
      <c r="AL533" s="14"/>
      <c r="AM533" s="15"/>
      <c r="AN533" s="15"/>
      <c r="AO533" s="13"/>
      <c r="AP533" s="13"/>
      <c r="AQ533" s="16"/>
      <c r="AR533" s="10"/>
      <c r="AS533" s="10"/>
      <c r="AT533" s="10"/>
      <c r="AU533" s="10"/>
      <c r="AV533" s="11"/>
      <c r="AW533" s="11"/>
      <c r="AX533" s="10"/>
      <c r="AY533" s="11"/>
      <c r="AZ533" s="11"/>
      <c r="BA533" s="11"/>
      <c r="BB533" s="10"/>
      <c r="BC533" s="11"/>
      <c r="BD533" s="11"/>
      <c r="BE533" s="11"/>
      <c r="BF533" s="11"/>
      <c r="BG533" s="11"/>
      <c r="BH533" s="11"/>
      <c r="BI533" s="11"/>
      <c r="BJ533" s="11"/>
      <c r="BK533" s="11"/>
      <c r="BL533" s="11"/>
      <c r="BM533" s="11"/>
      <c r="BN533" s="11"/>
      <c r="BO533" s="11"/>
      <c r="BP533" s="11"/>
      <c r="BQ533" s="11"/>
      <c r="BR533" s="11"/>
      <c r="BS533" s="11"/>
      <c r="BT533" s="11"/>
      <c r="BU533" s="11"/>
      <c r="BV533" s="11"/>
      <c r="BW533" s="11"/>
      <c r="BX533" s="11"/>
      <c r="BY533" s="11"/>
      <c r="BZ533" s="11"/>
      <c r="CA533" s="11"/>
      <c r="CB533" s="11"/>
      <c r="CC533" s="17"/>
      <c r="CD533" s="17"/>
      <c r="CE533" s="11"/>
      <c r="CF533" s="13"/>
      <c r="CG533" s="13"/>
      <c r="CH533" s="13"/>
      <c r="CI533" s="13"/>
      <c r="CJ533" s="13"/>
    </row>
    <row r="534" spans="1:88" s="9" customFormat="1" x14ac:dyDescent="0.25">
      <c r="A534" s="10"/>
      <c r="B534" s="10"/>
      <c r="C534" s="10"/>
      <c r="D534" s="10"/>
      <c r="E534" s="11"/>
      <c r="F534" s="10"/>
      <c r="G534" s="10"/>
      <c r="H534" s="10"/>
      <c r="I534" s="10"/>
      <c r="J534" s="10"/>
      <c r="K534" s="12"/>
      <c r="L534" s="10"/>
      <c r="M534" s="10"/>
      <c r="N534" s="13"/>
      <c r="O534" s="10"/>
      <c r="P534" s="10"/>
      <c r="Q534" s="10"/>
      <c r="R534" s="18"/>
      <c r="S534" s="10"/>
      <c r="T534" s="10"/>
      <c r="U534" s="13"/>
      <c r="V534" s="13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3"/>
      <c r="AL534" s="14"/>
      <c r="AM534" s="15"/>
      <c r="AN534" s="15"/>
      <c r="AO534" s="13"/>
      <c r="AP534" s="13"/>
      <c r="AQ534" s="16"/>
      <c r="AR534" s="10"/>
      <c r="AS534" s="10"/>
      <c r="AT534" s="10"/>
      <c r="AU534" s="10"/>
      <c r="AV534" s="11"/>
      <c r="AW534" s="11"/>
      <c r="AX534" s="10"/>
      <c r="AY534" s="11"/>
      <c r="AZ534" s="11"/>
      <c r="BA534" s="11"/>
      <c r="BB534" s="10"/>
      <c r="BC534" s="11"/>
      <c r="BD534" s="11"/>
      <c r="BE534" s="11"/>
      <c r="BF534" s="11"/>
      <c r="BG534" s="11"/>
      <c r="BH534" s="11"/>
      <c r="BI534" s="11"/>
      <c r="BJ534" s="11"/>
      <c r="BK534" s="11"/>
      <c r="BL534" s="11"/>
      <c r="BM534" s="11"/>
      <c r="BN534" s="11"/>
      <c r="BO534" s="11"/>
      <c r="BP534" s="11"/>
      <c r="BQ534" s="11"/>
      <c r="BR534" s="11"/>
      <c r="BS534" s="11"/>
      <c r="BT534" s="11"/>
      <c r="BU534" s="11"/>
      <c r="BV534" s="11"/>
      <c r="BW534" s="11"/>
      <c r="BX534" s="11"/>
      <c r="BY534" s="11"/>
      <c r="BZ534" s="11"/>
      <c r="CA534" s="11"/>
      <c r="CB534" s="11"/>
      <c r="CC534" s="17"/>
      <c r="CD534" s="17"/>
      <c r="CE534" s="11"/>
      <c r="CF534" s="13"/>
      <c r="CG534" s="13"/>
      <c r="CH534" s="13"/>
      <c r="CI534" s="13"/>
      <c r="CJ534" s="13"/>
    </row>
    <row r="535" spans="1:88" s="9" customFormat="1" x14ac:dyDescent="0.25">
      <c r="A535" s="10"/>
      <c r="B535" s="10"/>
      <c r="C535" s="10"/>
      <c r="D535" s="10"/>
      <c r="E535" s="11"/>
      <c r="F535" s="10"/>
      <c r="G535" s="10"/>
      <c r="H535" s="10"/>
      <c r="I535" s="10"/>
      <c r="J535" s="10"/>
      <c r="K535" s="12"/>
      <c r="L535" s="10"/>
      <c r="M535" s="10"/>
      <c r="N535" s="13"/>
      <c r="O535" s="10"/>
      <c r="P535" s="10"/>
      <c r="Q535" s="10"/>
      <c r="R535" s="18"/>
      <c r="S535" s="10"/>
      <c r="T535" s="10"/>
      <c r="U535" s="13"/>
      <c r="V535" s="13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3"/>
      <c r="AL535" s="14"/>
      <c r="AM535" s="15"/>
      <c r="AN535" s="15"/>
      <c r="AO535" s="13"/>
      <c r="AP535" s="13"/>
      <c r="AQ535" s="16"/>
      <c r="AR535" s="10"/>
      <c r="AS535" s="10"/>
      <c r="AT535" s="10"/>
      <c r="AU535" s="10"/>
      <c r="AV535" s="11"/>
      <c r="AW535" s="11"/>
      <c r="AX535" s="10"/>
      <c r="AY535" s="11"/>
      <c r="AZ535" s="11"/>
      <c r="BA535" s="11"/>
      <c r="BB535" s="10"/>
      <c r="BC535" s="11"/>
      <c r="BD535" s="11"/>
      <c r="BE535" s="11"/>
      <c r="BF535" s="11"/>
      <c r="BG535" s="11"/>
      <c r="BH535" s="11"/>
      <c r="BI535" s="11"/>
      <c r="BJ535" s="11"/>
      <c r="BK535" s="11"/>
      <c r="BL535" s="11"/>
      <c r="BM535" s="11"/>
      <c r="BN535" s="11"/>
      <c r="BO535" s="11"/>
      <c r="BP535" s="11"/>
      <c r="BQ535" s="11"/>
      <c r="BR535" s="11"/>
      <c r="BS535" s="11"/>
      <c r="BT535" s="11"/>
      <c r="BU535" s="11"/>
      <c r="BV535" s="11"/>
      <c r="BW535" s="11"/>
      <c r="BX535" s="11"/>
      <c r="BY535" s="11"/>
      <c r="BZ535" s="11"/>
      <c r="CA535" s="11"/>
      <c r="CB535" s="11"/>
      <c r="CC535" s="17"/>
      <c r="CD535" s="17"/>
      <c r="CE535" s="11"/>
      <c r="CF535" s="13"/>
      <c r="CG535" s="13"/>
      <c r="CH535" s="13"/>
      <c r="CI535" s="13"/>
      <c r="CJ535" s="13"/>
    </row>
    <row r="536" spans="1:88" s="9" customFormat="1" x14ac:dyDescent="0.25">
      <c r="A536" s="10"/>
      <c r="B536" s="10"/>
      <c r="C536" s="10"/>
      <c r="D536" s="10"/>
      <c r="E536" s="11"/>
      <c r="F536" s="10"/>
      <c r="G536" s="10"/>
      <c r="H536" s="10"/>
      <c r="I536" s="10"/>
      <c r="J536" s="10"/>
      <c r="K536" s="12"/>
      <c r="L536" s="10"/>
      <c r="M536" s="10"/>
      <c r="N536" s="13"/>
      <c r="O536" s="10"/>
      <c r="P536" s="10"/>
      <c r="Q536" s="10"/>
      <c r="R536" s="18"/>
      <c r="S536" s="10"/>
      <c r="T536" s="10"/>
      <c r="U536" s="13"/>
      <c r="V536" s="13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3"/>
      <c r="AL536" s="14"/>
      <c r="AM536" s="15"/>
      <c r="AN536" s="15"/>
      <c r="AO536" s="13"/>
      <c r="AP536" s="13"/>
      <c r="AQ536" s="16"/>
      <c r="AR536" s="10"/>
      <c r="AS536" s="10"/>
      <c r="AT536" s="10"/>
      <c r="AU536" s="10"/>
      <c r="AV536" s="11"/>
      <c r="AW536" s="11"/>
      <c r="AX536" s="10"/>
      <c r="AY536" s="11"/>
      <c r="AZ536" s="11"/>
      <c r="BA536" s="11"/>
      <c r="BB536" s="10"/>
      <c r="BC536" s="11"/>
      <c r="BD536" s="11"/>
      <c r="BE536" s="11"/>
      <c r="BF536" s="11"/>
      <c r="BG536" s="11"/>
      <c r="BH536" s="11"/>
      <c r="BI536" s="11"/>
      <c r="BJ536" s="11"/>
      <c r="BK536" s="11"/>
      <c r="BL536" s="11"/>
      <c r="BM536" s="11"/>
      <c r="BN536" s="11"/>
      <c r="BO536" s="11"/>
      <c r="BP536" s="11"/>
      <c r="BQ536" s="11"/>
      <c r="BR536" s="11"/>
      <c r="BS536" s="11"/>
      <c r="BT536" s="11"/>
      <c r="BU536" s="11"/>
      <c r="BV536" s="11"/>
      <c r="BW536" s="11"/>
      <c r="BX536" s="11"/>
      <c r="BY536" s="11"/>
      <c r="BZ536" s="11"/>
      <c r="CA536" s="11"/>
      <c r="CB536" s="11"/>
      <c r="CC536" s="17"/>
      <c r="CD536" s="17"/>
      <c r="CE536" s="11"/>
      <c r="CF536" s="13"/>
      <c r="CG536" s="13"/>
      <c r="CH536" s="13"/>
      <c r="CI536" s="13"/>
      <c r="CJ536" s="13"/>
    </row>
    <row r="537" spans="1:88" s="9" customFormat="1" x14ac:dyDescent="0.25">
      <c r="A537" s="10"/>
      <c r="B537" s="10"/>
      <c r="C537" s="10"/>
      <c r="D537" s="10"/>
      <c r="E537" s="11"/>
      <c r="F537" s="10"/>
      <c r="G537" s="10"/>
      <c r="H537" s="10"/>
      <c r="I537" s="10"/>
      <c r="J537" s="10"/>
      <c r="K537" s="12"/>
      <c r="L537" s="10"/>
      <c r="M537" s="10"/>
      <c r="N537" s="13"/>
      <c r="O537" s="10"/>
      <c r="P537" s="10"/>
      <c r="Q537" s="10"/>
      <c r="R537" s="18"/>
      <c r="S537" s="10"/>
      <c r="T537" s="10"/>
      <c r="U537" s="13"/>
      <c r="V537" s="13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3"/>
      <c r="AL537" s="14"/>
      <c r="AM537" s="15"/>
      <c r="AN537" s="15"/>
      <c r="AO537" s="13"/>
      <c r="AP537" s="13"/>
      <c r="AQ537" s="16"/>
      <c r="AR537" s="10"/>
      <c r="AS537" s="10"/>
      <c r="AT537" s="10"/>
      <c r="AU537" s="10"/>
      <c r="AV537" s="11"/>
      <c r="AW537" s="11"/>
      <c r="AX537" s="10"/>
      <c r="AY537" s="11"/>
      <c r="AZ537" s="11"/>
      <c r="BA537" s="11"/>
      <c r="BB537" s="10"/>
      <c r="BC537" s="11"/>
      <c r="BD537" s="11"/>
      <c r="BE537" s="11"/>
      <c r="BF537" s="11"/>
      <c r="BG537" s="11"/>
      <c r="BH537" s="11"/>
      <c r="BI537" s="11"/>
      <c r="BJ537" s="11"/>
      <c r="BK537" s="11"/>
      <c r="BL537" s="11"/>
      <c r="BM537" s="11"/>
      <c r="BN537" s="11"/>
      <c r="BO537" s="11"/>
      <c r="BP537" s="11"/>
      <c r="BQ537" s="11"/>
      <c r="BR537" s="11"/>
      <c r="BS537" s="11"/>
      <c r="BT537" s="11"/>
      <c r="BU537" s="11"/>
      <c r="BV537" s="11"/>
      <c r="BW537" s="11"/>
      <c r="BX537" s="11"/>
      <c r="BY537" s="11"/>
      <c r="BZ537" s="11"/>
      <c r="CA537" s="11"/>
      <c r="CB537" s="11"/>
      <c r="CC537" s="17"/>
      <c r="CD537" s="17"/>
      <c r="CE537" s="11"/>
      <c r="CF537" s="13"/>
      <c r="CG537" s="13"/>
      <c r="CH537" s="13"/>
      <c r="CI537" s="13"/>
      <c r="CJ537" s="13"/>
    </row>
    <row r="538" spans="1:88" s="9" customFormat="1" x14ac:dyDescent="0.25">
      <c r="A538" s="10"/>
      <c r="B538" s="10"/>
      <c r="C538" s="10"/>
      <c r="D538" s="10"/>
      <c r="E538" s="11"/>
      <c r="F538" s="10"/>
      <c r="G538" s="10"/>
      <c r="H538" s="10"/>
      <c r="I538" s="10"/>
      <c r="J538" s="10"/>
      <c r="K538" s="12"/>
      <c r="L538" s="10"/>
      <c r="M538" s="10"/>
      <c r="N538" s="13"/>
      <c r="O538" s="10"/>
      <c r="P538" s="10"/>
      <c r="Q538" s="10"/>
      <c r="R538" s="18"/>
      <c r="S538" s="10"/>
      <c r="T538" s="10"/>
      <c r="U538" s="13"/>
      <c r="V538" s="13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3"/>
      <c r="AL538" s="14"/>
      <c r="AM538" s="15"/>
      <c r="AN538" s="15"/>
      <c r="AO538" s="13"/>
      <c r="AP538" s="13"/>
      <c r="AQ538" s="16"/>
      <c r="AR538" s="10"/>
      <c r="AS538" s="10"/>
      <c r="AT538" s="10"/>
      <c r="AU538" s="10"/>
      <c r="AV538" s="11"/>
      <c r="AW538" s="11"/>
      <c r="AX538" s="10"/>
      <c r="AY538" s="11"/>
      <c r="AZ538" s="11"/>
      <c r="BA538" s="11"/>
      <c r="BB538" s="10"/>
      <c r="BC538" s="11"/>
      <c r="BD538" s="11"/>
      <c r="BE538" s="11"/>
      <c r="BF538" s="11"/>
      <c r="BG538" s="11"/>
      <c r="BH538" s="11"/>
      <c r="BI538" s="11"/>
      <c r="BJ538" s="11"/>
      <c r="BK538" s="11"/>
      <c r="BL538" s="11"/>
      <c r="BM538" s="11"/>
      <c r="BN538" s="11"/>
      <c r="BO538" s="11"/>
      <c r="BP538" s="11"/>
      <c r="BQ538" s="11"/>
      <c r="BR538" s="11"/>
      <c r="BS538" s="11"/>
      <c r="BT538" s="11"/>
      <c r="BU538" s="11"/>
      <c r="BV538" s="11"/>
      <c r="BW538" s="11"/>
      <c r="BX538" s="11"/>
      <c r="BY538" s="11"/>
      <c r="BZ538" s="11"/>
      <c r="CA538" s="11"/>
      <c r="CB538" s="11"/>
      <c r="CC538" s="17"/>
      <c r="CD538" s="17"/>
      <c r="CE538" s="11"/>
      <c r="CF538" s="13"/>
      <c r="CG538" s="13"/>
      <c r="CH538" s="13"/>
      <c r="CI538" s="13"/>
      <c r="CJ538" s="13"/>
    </row>
    <row r="539" spans="1:88" s="9" customFormat="1" x14ac:dyDescent="0.25">
      <c r="A539" s="10"/>
      <c r="B539" s="10"/>
      <c r="C539" s="10"/>
      <c r="D539" s="10"/>
      <c r="E539" s="11"/>
      <c r="F539" s="10"/>
      <c r="G539" s="10"/>
      <c r="H539" s="10"/>
      <c r="I539" s="10"/>
      <c r="J539" s="10"/>
      <c r="K539" s="12"/>
      <c r="L539" s="10"/>
      <c r="M539" s="10"/>
      <c r="N539" s="13"/>
      <c r="O539" s="10"/>
      <c r="P539" s="10"/>
      <c r="Q539" s="10"/>
      <c r="R539" s="18"/>
      <c r="S539" s="10"/>
      <c r="T539" s="10"/>
      <c r="U539" s="13"/>
      <c r="V539" s="13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3"/>
      <c r="AL539" s="14"/>
      <c r="AM539" s="15"/>
      <c r="AN539" s="15"/>
      <c r="AO539" s="13"/>
      <c r="AP539" s="13"/>
      <c r="AQ539" s="16"/>
      <c r="AR539" s="10"/>
      <c r="AS539" s="10"/>
      <c r="AT539" s="10"/>
      <c r="AU539" s="10"/>
      <c r="AV539" s="11"/>
      <c r="AW539" s="11"/>
      <c r="AX539" s="10"/>
      <c r="AY539" s="11"/>
      <c r="AZ539" s="11"/>
      <c r="BA539" s="11"/>
      <c r="BB539" s="10"/>
      <c r="BC539" s="11"/>
      <c r="BD539" s="11"/>
      <c r="BE539" s="11"/>
      <c r="BF539" s="11"/>
      <c r="BG539" s="11"/>
      <c r="BH539" s="11"/>
      <c r="BI539" s="11"/>
      <c r="BJ539" s="11"/>
      <c r="BK539" s="11"/>
      <c r="BL539" s="11"/>
      <c r="BM539" s="11"/>
      <c r="BN539" s="11"/>
      <c r="BO539" s="11"/>
      <c r="BP539" s="11"/>
      <c r="BQ539" s="11"/>
      <c r="BR539" s="11"/>
      <c r="BS539" s="11"/>
      <c r="BT539" s="11"/>
      <c r="BU539" s="11"/>
      <c r="BV539" s="11"/>
      <c r="BW539" s="11"/>
      <c r="BX539" s="11"/>
      <c r="BY539" s="11"/>
      <c r="BZ539" s="11"/>
      <c r="CA539" s="11"/>
      <c r="CB539" s="11"/>
      <c r="CC539" s="17"/>
      <c r="CD539" s="17"/>
      <c r="CE539" s="11"/>
      <c r="CF539" s="13"/>
      <c r="CG539" s="13"/>
      <c r="CH539" s="13"/>
      <c r="CI539" s="13"/>
      <c r="CJ539" s="13"/>
    </row>
    <row r="540" spans="1:88" s="9" customFormat="1" x14ac:dyDescent="0.25">
      <c r="A540" s="10"/>
      <c r="B540" s="10"/>
      <c r="C540" s="10"/>
      <c r="D540" s="10"/>
      <c r="E540" s="11"/>
      <c r="F540" s="10"/>
      <c r="G540" s="10"/>
      <c r="H540" s="10"/>
      <c r="I540" s="10"/>
      <c r="J540" s="10"/>
      <c r="K540" s="12"/>
      <c r="L540" s="10"/>
      <c r="M540" s="10"/>
      <c r="N540" s="13"/>
      <c r="O540" s="10"/>
      <c r="P540" s="10"/>
      <c r="Q540" s="10"/>
      <c r="R540" s="18"/>
      <c r="S540" s="10"/>
      <c r="T540" s="10"/>
      <c r="U540" s="13"/>
      <c r="V540" s="13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3"/>
      <c r="AL540" s="14"/>
      <c r="AM540" s="15"/>
      <c r="AN540" s="15"/>
      <c r="AO540" s="13"/>
      <c r="AP540" s="13"/>
      <c r="AQ540" s="16"/>
      <c r="AR540" s="10"/>
      <c r="AS540" s="10"/>
      <c r="AT540" s="10"/>
      <c r="AU540" s="10"/>
      <c r="AV540" s="11"/>
      <c r="AW540" s="11"/>
      <c r="AX540" s="10"/>
      <c r="AY540" s="11"/>
      <c r="AZ540" s="11"/>
      <c r="BA540" s="11"/>
      <c r="BB540" s="10"/>
      <c r="BC540" s="11"/>
      <c r="BD540" s="11"/>
      <c r="BE540" s="11"/>
      <c r="BF540" s="11"/>
      <c r="BG540" s="11"/>
      <c r="BH540" s="11"/>
      <c r="BI540" s="11"/>
      <c r="BJ540" s="11"/>
      <c r="BK540" s="11"/>
      <c r="BL540" s="11"/>
      <c r="BM540" s="11"/>
      <c r="BN540" s="11"/>
      <c r="BO540" s="11"/>
      <c r="BP540" s="11"/>
      <c r="BQ540" s="11"/>
      <c r="BR540" s="11"/>
      <c r="BS540" s="11"/>
      <c r="BT540" s="11"/>
      <c r="BU540" s="11"/>
      <c r="BV540" s="11"/>
      <c r="BW540" s="11"/>
      <c r="BX540" s="11"/>
      <c r="BY540" s="11"/>
      <c r="BZ540" s="11"/>
      <c r="CA540" s="11"/>
      <c r="CB540" s="11"/>
      <c r="CC540" s="17"/>
      <c r="CD540" s="17"/>
      <c r="CE540" s="11"/>
      <c r="CF540" s="13"/>
      <c r="CG540" s="13"/>
      <c r="CH540" s="13"/>
      <c r="CI540" s="13"/>
      <c r="CJ540" s="13"/>
    </row>
    <row r="541" spans="1:88" s="9" customFormat="1" x14ac:dyDescent="0.25">
      <c r="A541" s="10"/>
      <c r="B541" s="10"/>
      <c r="C541" s="10"/>
      <c r="D541" s="10"/>
      <c r="E541" s="11"/>
      <c r="F541" s="10"/>
      <c r="G541" s="10"/>
      <c r="H541" s="10"/>
      <c r="I541" s="10"/>
      <c r="J541" s="10"/>
      <c r="K541" s="12"/>
      <c r="L541" s="10"/>
      <c r="M541" s="10"/>
      <c r="N541" s="13"/>
      <c r="O541" s="10"/>
      <c r="P541" s="10"/>
      <c r="Q541" s="10"/>
      <c r="R541" s="18"/>
      <c r="S541" s="10"/>
      <c r="T541" s="10"/>
      <c r="U541" s="13"/>
      <c r="V541" s="13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3"/>
      <c r="AL541" s="14"/>
      <c r="AM541" s="15"/>
      <c r="AN541" s="15"/>
      <c r="AO541" s="13"/>
      <c r="AP541" s="13"/>
      <c r="AQ541" s="16"/>
      <c r="AR541" s="10"/>
      <c r="AS541" s="10"/>
      <c r="AT541" s="10"/>
      <c r="AU541" s="10"/>
      <c r="AV541" s="11"/>
      <c r="AW541" s="11"/>
      <c r="AX541" s="10"/>
      <c r="AY541" s="11"/>
      <c r="AZ541" s="11"/>
      <c r="BA541" s="11"/>
      <c r="BB541" s="10"/>
      <c r="BC541" s="11"/>
      <c r="BD541" s="11"/>
      <c r="BE541" s="11"/>
      <c r="BF541" s="11"/>
      <c r="BG541" s="11"/>
      <c r="BH541" s="11"/>
      <c r="BI541" s="11"/>
      <c r="BJ541" s="11"/>
      <c r="BK541" s="11"/>
      <c r="BL541" s="11"/>
      <c r="BM541" s="11"/>
      <c r="BN541" s="11"/>
      <c r="BO541" s="11"/>
      <c r="BP541" s="11"/>
      <c r="BQ541" s="11"/>
      <c r="BR541" s="11"/>
      <c r="BS541" s="11"/>
      <c r="BT541" s="11"/>
      <c r="BU541" s="11"/>
      <c r="BV541" s="11"/>
      <c r="BW541" s="11"/>
      <c r="BX541" s="11"/>
      <c r="BY541" s="11"/>
      <c r="BZ541" s="11"/>
      <c r="CA541" s="11"/>
      <c r="CB541" s="11"/>
      <c r="CC541" s="17"/>
      <c r="CD541" s="17"/>
      <c r="CE541" s="11"/>
      <c r="CF541" s="13"/>
      <c r="CG541" s="13"/>
      <c r="CH541" s="13"/>
      <c r="CI541" s="13"/>
      <c r="CJ541" s="13"/>
    </row>
    <row r="542" spans="1:88" s="9" customFormat="1" x14ac:dyDescent="0.25">
      <c r="A542" s="10"/>
      <c r="B542" s="10"/>
      <c r="C542" s="10"/>
      <c r="D542" s="10"/>
      <c r="E542" s="11"/>
      <c r="F542" s="10"/>
      <c r="G542" s="10"/>
      <c r="H542" s="10"/>
      <c r="I542" s="10"/>
      <c r="J542" s="10"/>
      <c r="K542" s="12"/>
      <c r="L542" s="10"/>
      <c r="M542" s="10"/>
      <c r="N542" s="13"/>
      <c r="O542" s="10"/>
      <c r="P542" s="10"/>
      <c r="Q542" s="10"/>
      <c r="R542" s="18"/>
      <c r="S542" s="10"/>
      <c r="T542" s="10"/>
      <c r="U542" s="13"/>
      <c r="V542" s="13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3"/>
      <c r="AL542" s="14"/>
      <c r="AM542" s="15"/>
      <c r="AN542" s="15"/>
      <c r="AO542" s="13"/>
      <c r="AP542" s="13"/>
      <c r="AQ542" s="16"/>
      <c r="AR542" s="10"/>
      <c r="AS542" s="10"/>
      <c r="AT542" s="10"/>
      <c r="AU542" s="10"/>
      <c r="AV542" s="11"/>
      <c r="AW542" s="11"/>
      <c r="AX542" s="10"/>
      <c r="AY542" s="11"/>
      <c r="AZ542" s="11"/>
      <c r="BA542" s="11"/>
      <c r="BB542" s="10"/>
      <c r="BC542" s="11"/>
      <c r="BD542" s="11"/>
      <c r="BE542" s="11"/>
      <c r="BF542" s="11"/>
      <c r="BG542" s="11"/>
      <c r="BH542" s="11"/>
      <c r="BI542" s="11"/>
      <c r="BJ542" s="11"/>
      <c r="BK542" s="11"/>
      <c r="BL542" s="11"/>
      <c r="BM542" s="11"/>
      <c r="BN542" s="11"/>
      <c r="BO542" s="11"/>
      <c r="BP542" s="11"/>
      <c r="BQ542" s="11"/>
      <c r="BR542" s="11"/>
      <c r="BS542" s="11"/>
      <c r="BT542" s="11"/>
      <c r="BU542" s="11"/>
      <c r="BV542" s="11"/>
      <c r="BW542" s="11"/>
      <c r="BX542" s="11"/>
      <c r="BY542" s="11"/>
      <c r="BZ542" s="11"/>
      <c r="CA542" s="11"/>
      <c r="CB542" s="11"/>
      <c r="CC542" s="17"/>
      <c r="CD542" s="17"/>
      <c r="CE542" s="11"/>
      <c r="CF542" s="13"/>
      <c r="CG542" s="13"/>
      <c r="CH542" s="13"/>
      <c r="CI542" s="13"/>
      <c r="CJ542" s="13"/>
    </row>
    <row r="543" spans="1:88" s="9" customFormat="1" x14ac:dyDescent="0.25">
      <c r="A543" s="10"/>
      <c r="B543" s="10"/>
      <c r="C543" s="10"/>
      <c r="D543" s="10"/>
      <c r="E543" s="11"/>
      <c r="F543" s="10"/>
      <c r="G543" s="10"/>
      <c r="H543" s="10"/>
      <c r="I543" s="10"/>
      <c r="J543" s="10"/>
      <c r="K543" s="12"/>
      <c r="L543" s="10"/>
      <c r="M543" s="10"/>
      <c r="N543" s="13"/>
      <c r="O543" s="10"/>
      <c r="P543" s="10"/>
      <c r="Q543" s="10"/>
      <c r="R543" s="18"/>
      <c r="S543" s="10"/>
      <c r="T543" s="10"/>
      <c r="U543" s="13"/>
      <c r="V543" s="13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3"/>
      <c r="AL543" s="14"/>
      <c r="AM543" s="15"/>
      <c r="AN543" s="15"/>
      <c r="AO543" s="13"/>
      <c r="AP543" s="13"/>
      <c r="AQ543" s="16"/>
      <c r="AR543" s="10"/>
      <c r="AS543" s="10"/>
      <c r="AT543" s="10"/>
      <c r="AU543" s="10"/>
      <c r="AV543" s="11"/>
      <c r="AW543" s="11"/>
      <c r="AX543" s="10"/>
      <c r="AY543" s="11"/>
      <c r="AZ543" s="11"/>
      <c r="BA543" s="11"/>
      <c r="BB543" s="10"/>
      <c r="BC543" s="11"/>
      <c r="BD543" s="11"/>
      <c r="BE543" s="11"/>
      <c r="BF543" s="11"/>
      <c r="BG543" s="11"/>
      <c r="BH543" s="11"/>
      <c r="BI543" s="11"/>
      <c r="BJ543" s="11"/>
      <c r="BK543" s="11"/>
      <c r="BL543" s="11"/>
      <c r="BM543" s="11"/>
      <c r="BN543" s="11"/>
      <c r="BO543" s="11"/>
      <c r="BP543" s="11"/>
      <c r="BQ543" s="11"/>
      <c r="BR543" s="11"/>
      <c r="BS543" s="11"/>
      <c r="BT543" s="11"/>
      <c r="BU543" s="11"/>
      <c r="BV543" s="11"/>
      <c r="BW543" s="11"/>
      <c r="BX543" s="11"/>
      <c r="BY543" s="11"/>
      <c r="BZ543" s="11"/>
      <c r="CA543" s="11"/>
      <c r="CB543" s="11"/>
      <c r="CC543" s="17"/>
      <c r="CD543" s="17"/>
      <c r="CE543" s="11"/>
      <c r="CF543" s="13"/>
      <c r="CG543" s="13"/>
      <c r="CH543" s="13"/>
      <c r="CI543" s="13"/>
      <c r="CJ543" s="13"/>
    </row>
    <row r="544" spans="1:88" s="9" customFormat="1" x14ac:dyDescent="0.25">
      <c r="A544" s="10"/>
      <c r="B544" s="10"/>
      <c r="C544" s="10"/>
      <c r="D544" s="10"/>
      <c r="E544" s="11"/>
      <c r="F544" s="10"/>
      <c r="G544" s="10"/>
      <c r="H544" s="10"/>
      <c r="I544" s="10"/>
      <c r="J544" s="10"/>
      <c r="K544" s="12"/>
      <c r="L544" s="10"/>
      <c r="M544" s="10"/>
      <c r="N544" s="13"/>
      <c r="O544" s="10"/>
      <c r="P544" s="10"/>
      <c r="Q544" s="10"/>
      <c r="R544" s="18"/>
      <c r="S544" s="10"/>
      <c r="T544" s="10"/>
      <c r="U544" s="13"/>
      <c r="V544" s="13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3"/>
      <c r="AL544" s="14"/>
      <c r="AM544" s="15"/>
      <c r="AN544" s="15"/>
      <c r="AO544" s="13"/>
      <c r="AP544" s="13"/>
      <c r="AQ544" s="16"/>
      <c r="AR544" s="10"/>
      <c r="AS544" s="10"/>
      <c r="AT544" s="10"/>
      <c r="AU544" s="10"/>
      <c r="AV544" s="11"/>
      <c r="AW544" s="11"/>
      <c r="AX544" s="10"/>
      <c r="AY544" s="11"/>
      <c r="AZ544" s="11"/>
      <c r="BA544" s="11"/>
      <c r="BB544" s="10"/>
      <c r="BC544" s="11"/>
      <c r="BD544" s="11"/>
      <c r="BE544" s="11"/>
      <c r="BF544" s="11"/>
      <c r="BG544" s="11"/>
      <c r="BH544" s="11"/>
      <c r="BI544" s="11"/>
      <c r="BJ544" s="11"/>
      <c r="BK544" s="11"/>
      <c r="BL544" s="11"/>
      <c r="BM544" s="11"/>
      <c r="BN544" s="11"/>
      <c r="BO544" s="11"/>
      <c r="BP544" s="11"/>
      <c r="BQ544" s="11"/>
      <c r="BR544" s="11"/>
      <c r="BS544" s="11"/>
      <c r="BT544" s="11"/>
      <c r="BU544" s="11"/>
      <c r="BV544" s="11"/>
      <c r="BW544" s="11"/>
      <c r="BX544" s="11"/>
      <c r="BY544" s="11"/>
      <c r="BZ544" s="11"/>
      <c r="CA544" s="11"/>
      <c r="CB544" s="11"/>
      <c r="CC544" s="17"/>
      <c r="CD544" s="17"/>
      <c r="CE544" s="11"/>
      <c r="CF544" s="13"/>
      <c r="CG544" s="13"/>
      <c r="CH544" s="13"/>
      <c r="CI544" s="13"/>
      <c r="CJ544" s="13"/>
    </row>
    <row r="545" spans="1:88" s="9" customFormat="1" x14ac:dyDescent="0.25">
      <c r="A545" s="10"/>
      <c r="B545" s="10"/>
      <c r="C545" s="10"/>
      <c r="D545" s="10"/>
      <c r="E545" s="11"/>
      <c r="F545" s="10"/>
      <c r="G545" s="10"/>
      <c r="H545" s="10"/>
      <c r="I545" s="10"/>
      <c r="J545" s="10"/>
      <c r="K545" s="12"/>
      <c r="L545" s="10"/>
      <c r="M545" s="10"/>
      <c r="N545" s="13"/>
      <c r="O545" s="10"/>
      <c r="P545" s="10"/>
      <c r="Q545" s="10"/>
      <c r="R545" s="18"/>
      <c r="S545" s="10"/>
      <c r="T545" s="10"/>
      <c r="U545" s="13"/>
      <c r="V545" s="13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3"/>
      <c r="AL545" s="14"/>
      <c r="AM545" s="15"/>
      <c r="AN545" s="15"/>
      <c r="AO545" s="13"/>
      <c r="AP545" s="13"/>
      <c r="AQ545" s="16"/>
      <c r="AR545" s="10"/>
      <c r="AS545" s="10"/>
      <c r="AT545" s="10"/>
      <c r="AU545" s="10"/>
      <c r="AV545" s="11"/>
      <c r="AW545" s="11"/>
      <c r="AX545" s="10"/>
      <c r="AY545" s="11"/>
      <c r="AZ545" s="11"/>
      <c r="BA545" s="11"/>
      <c r="BB545" s="10"/>
      <c r="BC545" s="11"/>
      <c r="BD545" s="11"/>
      <c r="BE545" s="11"/>
      <c r="BF545" s="11"/>
      <c r="BG545" s="11"/>
      <c r="BH545" s="11"/>
      <c r="BI545" s="11"/>
      <c r="BJ545" s="11"/>
      <c r="BK545" s="11"/>
      <c r="BL545" s="11"/>
      <c r="BM545" s="11"/>
      <c r="BN545" s="11"/>
      <c r="BO545" s="11"/>
      <c r="BP545" s="11"/>
      <c r="BQ545" s="11"/>
      <c r="BR545" s="11"/>
      <c r="BS545" s="11"/>
      <c r="BT545" s="11"/>
      <c r="BU545" s="11"/>
      <c r="BV545" s="11"/>
      <c r="BW545" s="11"/>
      <c r="BX545" s="11"/>
      <c r="BY545" s="11"/>
      <c r="BZ545" s="11"/>
      <c r="CA545" s="11"/>
      <c r="CB545" s="11"/>
      <c r="CC545" s="17"/>
      <c r="CD545" s="17"/>
      <c r="CE545" s="11"/>
      <c r="CF545" s="13"/>
      <c r="CG545" s="13"/>
      <c r="CH545" s="13"/>
      <c r="CI545" s="13"/>
      <c r="CJ545" s="13"/>
    </row>
    <row r="546" spans="1:88" s="9" customFormat="1" x14ac:dyDescent="0.25">
      <c r="A546" s="10"/>
      <c r="B546" s="10"/>
      <c r="C546" s="10"/>
      <c r="D546" s="10"/>
      <c r="E546" s="11"/>
      <c r="F546" s="10"/>
      <c r="G546" s="10"/>
      <c r="H546" s="10"/>
      <c r="I546" s="10"/>
      <c r="J546" s="10"/>
      <c r="K546" s="12"/>
      <c r="L546" s="10"/>
      <c r="M546" s="10"/>
      <c r="N546" s="13"/>
      <c r="O546" s="10"/>
      <c r="P546" s="10"/>
      <c r="Q546" s="10"/>
      <c r="R546" s="18"/>
      <c r="S546" s="10"/>
      <c r="T546" s="10"/>
      <c r="U546" s="13"/>
      <c r="V546" s="13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3"/>
      <c r="AL546" s="14"/>
      <c r="AM546" s="15"/>
      <c r="AN546" s="15"/>
      <c r="AO546" s="13"/>
      <c r="AP546" s="13"/>
      <c r="AQ546" s="16"/>
      <c r="AR546" s="10"/>
      <c r="AS546" s="10"/>
      <c r="AT546" s="10"/>
      <c r="AU546" s="10"/>
      <c r="AV546" s="11"/>
      <c r="AW546" s="11"/>
      <c r="AX546" s="10"/>
      <c r="AY546" s="11"/>
      <c r="AZ546" s="11"/>
      <c r="BA546" s="11"/>
      <c r="BB546" s="10"/>
      <c r="BC546" s="11"/>
      <c r="BD546" s="11"/>
      <c r="BE546" s="11"/>
      <c r="BF546" s="11"/>
      <c r="BG546" s="11"/>
      <c r="BH546" s="11"/>
      <c r="BI546" s="11"/>
      <c r="BJ546" s="11"/>
      <c r="BK546" s="11"/>
      <c r="BL546" s="11"/>
      <c r="BM546" s="11"/>
      <c r="BN546" s="11"/>
      <c r="BO546" s="11"/>
      <c r="BP546" s="11"/>
      <c r="BQ546" s="11"/>
      <c r="BR546" s="11"/>
      <c r="BS546" s="11"/>
      <c r="BT546" s="11"/>
      <c r="BU546" s="11"/>
      <c r="BV546" s="11"/>
      <c r="BW546" s="11"/>
      <c r="BX546" s="11"/>
      <c r="BY546" s="11"/>
      <c r="BZ546" s="11"/>
      <c r="CA546" s="11"/>
      <c r="CB546" s="11"/>
      <c r="CC546" s="17"/>
      <c r="CD546" s="17"/>
      <c r="CE546" s="11"/>
      <c r="CF546" s="13"/>
      <c r="CG546" s="13"/>
      <c r="CH546" s="13"/>
      <c r="CI546" s="13"/>
      <c r="CJ546" s="13"/>
    </row>
    <row r="547" spans="1:88" s="9" customFormat="1" x14ac:dyDescent="0.25">
      <c r="A547" s="10"/>
      <c r="B547" s="10"/>
      <c r="C547" s="10"/>
      <c r="D547" s="10"/>
      <c r="E547" s="11"/>
      <c r="F547" s="10"/>
      <c r="G547" s="10"/>
      <c r="H547" s="10"/>
      <c r="I547" s="10"/>
      <c r="J547" s="10"/>
      <c r="K547" s="12"/>
      <c r="L547" s="10"/>
      <c r="M547" s="10"/>
      <c r="N547" s="13"/>
      <c r="O547" s="10"/>
      <c r="P547" s="10"/>
      <c r="Q547" s="10"/>
      <c r="R547" s="18"/>
      <c r="S547" s="10"/>
      <c r="T547" s="10"/>
      <c r="U547" s="13"/>
      <c r="V547" s="13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3"/>
      <c r="AL547" s="14"/>
      <c r="AM547" s="15"/>
      <c r="AN547" s="15"/>
      <c r="AO547" s="13"/>
      <c r="AP547" s="13"/>
      <c r="AQ547" s="16"/>
      <c r="AR547" s="10"/>
      <c r="AS547" s="10"/>
      <c r="AT547" s="10"/>
      <c r="AU547" s="10"/>
      <c r="AV547" s="11"/>
      <c r="AW547" s="11"/>
      <c r="AX547" s="10"/>
      <c r="AY547" s="11"/>
      <c r="AZ547" s="11"/>
      <c r="BA547" s="11"/>
      <c r="BB547" s="10"/>
      <c r="BC547" s="11"/>
      <c r="BD547" s="11"/>
      <c r="BE547" s="11"/>
      <c r="BF547" s="11"/>
      <c r="BG547" s="11"/>
      <c r="BH547" s="11"/>
      <c r="BI547" s="11"/>
      <c r="BJ547" s="11"/>
      <c r="BK547" s="11"/>
      <c r="BL547" s="11"/>
      <c r="BM547" s="11"/>
      <c r="BN547" s="11"/>
      <c r="BO547" s="11"/>
      <c r="BP547" s="11"/>
      <c r="BQ547" s="11"/>
      <c r="BR547" s="11"/>
      <c r="BS547" s="11"/>
      <c r="BT547" s="11"/>
      <c r="BU547" s="11"/>
      <c r="BV547" s="11"/>
      <c r="BW547" s="11"/>
      <c r="BX547" s="11"/>
      <c r="BY547" s="11"/>
      <c r="BZ547" s="11"/>
      <c r="CA547" s="11"/>
      <c r="CB547" s="11"/>
      <c r="CC547" s="17"/>
      <c r="CD547" s="17"/>
      <c r="CE547" s="11"/>
      <c r="CF547" s="13"/>
      <c r="CG547" s="13"/>
      <c r="CH547" s="13"/>
      <c r="CI547" s="13"/>
      <c r="CJ547" s="13"/>
    </row>
    <row r="548" spans="1:88" s="9" customFormat="1" x14ac:dyDescent="0.25">
      <c r="A548" s="10"/>
      <c r="B548" s="10"/>
      <c r="C548" s="10"/>
      <c r="D548" s="10"/>
      <c r="E548" s="11"/>
      <c r="F548" s="10"/>
      <c r="G548" s="10"/>
      <c r="H548" s="10"/>
      <c r="I548" s="10"/>
      <c r="J548" s="10"/>
      <c r="K548" s="12"/>
      <c r="L548" s="10"/>
      <c r="M548" s="10"/>
      <c r="N548" s="13"/>
      <c r="O548" s="10"/>
      <c r="P548" s="10"/>
      <c r="Q548" s="10"/>
      <c r="R548" s="18"/>
      <c r="S548" s="10"/>
      <c r="T548" s="10"/>
      <c r="U548" s="13"/>
      <c r="V548" s="13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3"/>
      <c r="AL548" s="14"/>
      <c r="AM548" s="15"/>
      <c r="AN548" s="15"/>
      <c r="AO548" s="13"/>
      <c r="AP548" s="13"/>
      <c r="AQ548" s="16"/>
      <c r="AR548" s="10"/>
      <c r="AS548" s="10"/>
      <c r="AT548" s="10"/>
      <c r="AU548" s="10"/>
      <c r="AV548" s="11"/>
      <c r="AW548" s="11"/>
      <c r="AX548" s="10"/>
      <c r="AY548" s="11"/>
      <c r="AZ548" s="11"/>
      <c r="BA548" s="11"/>
      <c r="BB548" s="10"/>
      <c r="BC548" s="11"/>
      <c r="BD548" s="11"/>
      <c r="BE548" s="11"/>
      <c r="BF548" s="11"/>
      <c r="BG548" s="11"/>
      <c r="BH548" s="11"/>
      <c r="BI548" s="11"/>
      <c r="BJ548" s="11"/>
      <c r="BK548" s="11"/>
      <c r="BL548" s="11"/>
      <c r="BM548" s="11"/>
      <c r="BN548" s="11"/>
      <c r="BO548" s="11"/>
      <c r="BP548" s="11"/>
      <c r="BQ548" s="11"/>
      <c r="BR548" s="11"/>
      <c r="BS548" s="11"/>
      <c r="BT548" s="11"/>
      <c r="BU548" s="11"/>
      <c r="BV548" s="11"/>
      <c r="BW548" s="11"/>
      <c r="BX548" s="11"/>
      <c r="BY548" s="11"/>
      <c r="BZ548" s="11"/>
      <c r="CA548" s="11"/>
      <c r="CB548" s="11"/>
      <c r="CC548" s="17"/>
      <c r="CD548" s="17"/>
      <c r="CE548" s="11"/>
      <c r="CF548" s="13"/>
      <c r="CG548" s="13"/>
      <c r="CH548" s="13"/>
      <c r="CI548" s="13"/>
      <c r="CJ548" s="13"/>
    </row>
    <row r="549" spans="1:88" s="9" customFormat="1" x14ac:dyDescent="0.25">
      <c r="A549" s="10"/>
      <c r="B549" s="10"/>
      <c r="C549" s="10"/>
      <c r="D549" s="10"/>
      <c r="E549" s="11"/>
      <c r="F549" s="10"/>
      <c r="G549" s="10"/>
      <c r="H549" s="10"/>
      <c r="I549" s="10"/>
      <c r="J549" s="10"/>
      <c r="K549" s="12"/>
      <c r="L549" s="10"/>
      <c r="M549" s="10"/>
      <c r="N549" s="13"/>
      <c r="O549" s="10"/>
      <c r="P549" s="10"/>
      <c r="Q549" s="10"/>
      <c r="R549" s="18"/>
      <c r="S549" s="10"/>
      <c r="T549" s="10"/>
      <c r="U549" s="13"/>
      <c r="V549" s="13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3"/>
      <c r="AL549" s="14"/>
      <c r="AM549" s="15"/>
      <c r="AN549" s="15"/>
      <c r="AO549" s="13"/>
      <c r="AP549" s="13"/>
      <c r="AQ549" s="16"/>
      <c r="AR549" s="10"/>
      <c r="AS549" s="10"/>
      <c r="AT549" s="10"/>
      <c r="AU549" s="10"/>
      <c r="AV549" s="11"/>
      <c r="AW549" s="11"/>
      <c r="AX549" s="10"/>
      <c r="AY549" s="11"/>
      <c r="AZ549" s="11"/>
      <c r="BA549" s="11"/>
      <c r="BB549" s="10"/>
      <c r="BC549" s="11"/>
      <c r="BD549" s="11"/>
      <c r="BE549" s="11"/>
      <c r="BF549" s="11"/>
      <c r="BG549" s="11"/>
      <c r="BH549" s="11"/>
      <c r="BI549" s="11"/>
      <c r="BJ549" s="11"/>
      <c r="BK549" s="11"/>
      <c r="BL549" s="11"/>
      <c r="BM549" s="11"/>
      <c r="BN549" s="11"/>
      <c r="BO549" s="11"/>
      <c r="BP549" s="11"/>
      <c r="BQ549" s="11"/>
      <c r="BR549" s="11"/>
      <c r="BS549" s="11"/>
      <c r="BT549" s="11"/>
      <c r="BU549" s="11"/>
      <c r="BV549" s="11"/>
      <c r="BW549" s="11"/>
      <c r="BX549" s="11"/>
      <c r="BY549" s="11"/>
      <c r="BZ549" s="11"/>
      <c r="CA549" s="11"/>
      <c r="CB549" s="11"/>
      <c r="CC549" s="17"/>
      <c r="CD549" s="17"/>
      <c r="CE549" s="11"/>
      <c r="CF549" s="13"/>
      <c r="CG549" s="13"/>
      <c r="CH549" s="13"/>
      <c r="CI549" s="13"/>
      <c r="CJ549" s="13"/>
    </row>
    <row r="550" spans="1:88" s="9" customFormat="1" x14ac:dyDescent="0.25">
      <c r="A550" s="10"/>
      <c r="B550" s="10"/>
      <c r="C550" s="10"/>
      <c r="D550" s="10"/>
      <c r="E550" s="11"/>
      <c r="F550" s="10"/>
      <c r="G550" s="10"/>
      <c r="H550" s="10"/>
      <c r="I550" s="10"/>
      <c r="J550" s="10"/>
      <c r="K550" s="12"/>
      <c r="L550" s="10"/>
      <c r="M550" s="10"/>
      <c r="N550" s="13"/>
      <c r="O550" s="10"/>
      <c r="P550" s="10"/>
      <c r="Q550" s="10"/>
      <c r="R550" s="18"/>
      <c r="S550" s="10"/>
      <c r="T550" s="10"/>
      <c r="U550" s="13"/>
      <c r="V550" s="13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3"/>
      <c r="AL550" s="14"/>
      <c r="AM550" s="15"/>
      <c r="AN550" s="15"/>
      <c r="AO550" s="13"/>
      <c r="AP550" s="13"/>
      <c r="AQ550" s="16"/>
      <c r="AR550" s="10"/>
      <c r="AS550" s="10"/>
      <c r="AT550" s="10"/>
      <c r="AU550" s="10"/>
      <c r="AV550" s="11"/>
      <c r="AW550" s="11"/>
      <c r="AX550" s="10"/>
      <c r="AY550" s="11"/>
      <c r="AZ550" s="11"/>
      <c r="BA550" s="11"/>
      <c r="BB550" s="10"/>
      <c r="BC550" s="11"/>
      <c r="BD550" s="11"/>
      <c r="BE550" s="11"/>
      <c r="BF550" s="11"/>
      <c r="BG550" s="11"/>
      <c r="BH550" s="11"/>
      <c r="BI550" s="11"/>
      <c r="BJ550" s="11"/>
      <c r="BK550" s="11"/>
      <c r="BL550" s="11"/>
      <c r="BM550" s="11"/>
      <c r="BN550" s="11"/>
      <c r="BO550" s="11"/>
      <c r="BP550" s="11"/>
      <c r="BQ550" s="11"/>
      <c r="BR550" s="11"/>
      <c r="BS550" s="11"/>
      <c r="BT550" s="11"/>
      <c r="BU550" s="11"/>
      <c r="BV550" s="11"/>
      <c r="BW550" s="11"/>
      <c r="BX550" s="11"/>
      <c r="BY550" s="11"/>
      <c r="BZ550" s="11"/>
      <c r="CA550" s="11"/>
      <c r="CB550" s="11"/>
      <c r="CC550" s="17"/>
      <c r="CD550" s="17"/>
      <c r="CE550" s="11"/>
      <c r="CF550" s="13"/>
      <c r="CG550" s="13"/>
      <c r="CH550" s="13"/>
      <c r="CI550" s="13"/>
      <c r="CJ550" s="13"/>
    </row>
    <row r="551" spans="1:88" s="9" customFormat="1" x14ac:dyDescent="0.25">
      <c r="A551" s="10"/>
      <c r="B551" s="10"/>
      <c r="C551" s="10"/>
      <c r="D551" s="10"/>
      <c r="E551" s="11"/>
      <c r="F551" s="10"/>
      <c r="G551" s="10"/>
      <c r="H551" s="10"/>
      <c r="I551" s="10"/>
      <c r="J551" s="10"/>
      <c r="K551" s="12"/>
      <c r="L551" s="10"/>
      <c r="M551" s="10"/>
      <c r="N551" s="13"/>
      <c r="O551" s="10"/>
      <c r="P551" s="10"/>
      <c r="Q551" s="10"/>
      <c r="R551" s="18"/>
      <c r="S551" s="10"/>
      <c r="T551" s="10"/>
      <c r="U551" s="13"/>
      <c r="V551" s="13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3"/>
      <c r="AL551" s="14"/>
      <c r="AM551" s="15"/>
      <c r="AN551" s="15"/>
      <c r="AO551" s="13"/>
      <c r="AP551" s="13"/>
      <c r="AQ551" s="16"/>
      <c r="AR551" s="10"/>
      <c r="AS551" s="10"/>
      <c r="AT551" s="10"/>
      <c r="AU551" s="10"/>
      <c r="AV551" s="11"/>
      <c r="AW551" s="11"/>
      <c r="AX551" s="10"/>
      <c r="AY551" s="11"/>
      <c r="AZ551" s="11"/>
      <c r="BA551" s="11"/>
      <c r="BB551" s="10"/>
      <c r="BC551" s="11"/>
      <c r="BD551" s="11"/>
      <c r="BE551" s="11"/>
      <c r="BF551" s="11"/>
      <c r="BG551" s="11"/>
      <c r="BH551" s="11"/>
      <c r="BI551" s="11"/>
      <c r="BJ551" s="11"/>
      <c r="BK551" s="11"/>
      <c r="BL551" s="11"/>
      <c r="BM551" s="11"/>
      <c r="BN551" s="11"/>
      <c r="BO551" s="11"/>
      <c r="BP551" s="11"/>
      <c r="BQ551" s="11"/>
      <c r="BR551" s="11"/>
      <c r="BS551" s="11"/>
      <c r="BT551" s="11"/>
      <c r="BU551" s="11"/>
      <c r="BV551" s="11"/>
      <c r="BW551" s="11"/>
      <c r="BX551" s="11"/>
      <c r="BY551" s="11"/>
      <c r="BZ551" s="11"/>
      <c r="CA551" s="11"/>
      <c r="CB551" s="11"/>
      <c r="CC551" s="17"/>
      <c r="CD551" s="17"/>
      <c r="CE551" s="11"/>
      <c r="CF551" s="13"/>
      <c r="CG551" s="13"/>
      <c r="CH551" s="13"/>
      <c r="CI551" s="13"/>
      <c r="CJ551" s="13"/>
    </row>
    <row r="552" spans="1:88" s="9" customFormat="1" x14ac:dyDescent="0.25">
      <c r="A552" s="10"/>
      <c r="B552" s="10"/>
      <c r="C552" s="10"/>
      <c r="D552" s="10"/>
      <c r="E552" s="11"/>
      <c r="F552" s="10"/>
      <c r="G552" s="10"/>
      <c r="H552" s="10"/>
      <c r="I552" s="10"/>
      <c r="J552" s="10"/>
      <c r="K552" s="12"/>
      <c r="L552" s="10"/>
      <c r="M552" s="10"/>
      <c r="N552" s="13"/>
      <c r="O552" s="10"/>
      <c r="P552" s="10"/>
      <c r="Q552" s="10"/>
      <c r="R552" s="18"/>
      <c r="S552" s="10"/>
      <c r="T552" s="10"/>
      <c r="U552" s="13"/>
      <c r="V552" s="13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3"/>
      <c r="AL552" s="14"/>
      <c r="AM552" s="15"/>
      <c r="AN552" s="15"/>
      <c r="AO552" s="13"/>
      <c r="AP552" s="13"/>
      <c r="AQ552" s="16"/>
      <c r="AR552" s="10"/>
      <c r="AS552" s="10"/>
      <c r="AT552" s="10"/>
      <c r="AU552" s="10"/>
      <c r="AV552" s="11"/>
      <c r="AW552" s="11"/>
      <c r="AX552" s="10"/>
      <c r="AY552" s="11"/>
      <c r="AZ552" s="11"/>
      <c r="BA552" s="11"/>
      <c r="BB552" s="10"/>
      <c r="BC552" s="11"/>
      <c r="BD552" s="11"/>
      <c r="BE552" s="11"/>
      <c r="BF552" s="11"/>
      <c r="BG552" s="11"/>
      <c r="BH552" s="11"/>
      <c r="BI552" s="11"/>
      <c r="BJ552" s="11"/>
      <c r="BK552" s="11"/>
      <c r="BL552" s="11"/>
      <c r="BM552" s="11"/>
      <c r="BN552" s="11"/>
      <c r="BO552" s="11"/>
      <c r="BP552" s="11"/>
      <c r="BQ552" s="11"/>
      <c r="BR552" s="11"/>
      <c r="BS552" s="11"/>
      <c r="BT552" s="11"/>
      <c r="BU552" s="11"/>
      <c r="BV552" s="11"/>
      <c r="BW552" s="11"/>
      <c r="BX552" s="11"/>
      <c r="BY552" s="11"/>
      <c r="BZ552" s="11"/>
      <c r="CA552" s="11"/>
      <c r="CB552" s="11"/>
      <c r="CC552" s="17"/>
      <c r="CD552" s="17"/>
      <c r="CE552" s="11"/>
      <c r="CF552" s="13"/>
      <c r="CG552" s="13"/>
      <c r="CH552" s="13"/>
      <c r="CI552" s="13"/>
      <c r="CJ552" s="13"/>
    </row>
    <row r="553" spans="1:88" s="9" customFormat="1" x14ac:dyDescent="0.25">
      <c r="A553" s="10"/>
      <c r="B553" s="10"/>
      <c r="C553" s="10"/>
      <c r="D553" s="10"/>
      <c r="E553" s="11"/>
      <c r="F553" s="10"/>
      <c r="G553" s="10"/>
      <c r="H553" s="10"/>
      <c r="I553" s="10"/>
      <c r="J553" s="10"/>
      <c r="K553" s="12"/>
      <c r="L553" s="10"/>
      <c r="M553" s="10"/>
      <c r="N553" s="13"/>
      <c r="O553" s="10"/>
      <c r="P553" s="10"/>
      <c r="Q553" s="10"/>
      <c r="R553" s="18"/>
      <c r="S553" s="10"/>
      <c r="T553" s="10"/>
      <c r="U553" s="13"/>
      <c r="V553" s="13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3"/>
      <c r="AL553" s="14"/>
      <c r="AM553" s="15"/>
      <c r="AN553" s="15"/>
      <c r="AO553" s="13"/>
      <c r="AP553" s="13"/>
      <c r="AQ553" s="16"/>
      <c r="AR553" s="10"/>
      <c r="AS553" s="10"/>
      <c r="AT553" s="10"/>
      <c r="AU553" s="10"/>
      <c r="AV553" s="11"/>
      <c r="AW553" s="11"/>
      <c r="AX553" s="10"/>
      <c r="AY553" s="11"/>
      <c r="AZ553" s="11"/>
      <c r="BA553" s="11"/>
      <c r="BB553" s="10"/>
      <c r="BC553" s="11"/>
      <c r="BD553" s="11"/>
      <c r="BE553" s="11"/>
      <c r="BF553" s="11"/>
      <c r="BG553" s="11"/>
      <c r="BH553" s="11"/>
      <c r="BI553" s="11"/>
      <c r="BJ553" s="11"/>
      <c r="BK553" s="11"/>
      <c r="BL553" s="11"/>
      <c r="BM553" s="11"/>
      <c r="BN553" s="11"/>
      <c r="BO553" s="11"/>
      <c r="BP553" s="11"/>
      <c r="BQ553" s="11"/>
      <c r="BR553" s="11"/>
      <c r="BS553" s="11"/>
      <c r="BT553" s="11"/>
      <c r="BU553" s="11"/>
      <c r="BV553" s="11"/>
      <c r="BW553" s="11"/>
      <c r="BX553" s="11"/>
      <c r="BY553" s="11"/>
      <c r="BZ553" s="11"/>
      <c r="CA553" s="11"/>
      <c r="CB553" s="11"/>
      <c r="CC553" s="17"/>
      <c r="CD553" s="17"/>
      <c r="CE553" s="11"/>
      <c r="CF553" s="13"/>
      <c r="CG553" s="13"/>
      <c r="CH553" s="13"/>
      <c r="CI553" s="13"/>
      <c r="CJ553" s="13"/>
    </row>
    <row r="554" spans="1:88" s="9" customFormat="1" x14ac:dyDescent="0.25">
      <c r="A554" s="10"/>
      <c r="B554" s="10"/>
      <c r="C554" s="10"/>
      <c r="D554" s="10"/>
      <c r="E554" s="11"/>
      <c r="F554" s="10"/>
      <c r="G554" s="10"/>
      <c r="H554" s="10"/>
      <c r="I554" s="10"/>
      <c r="J554" s="10"/>
      <c r="K554" s="12"/>
      <c r="L554" s="10"/>
      <c r="M554" s="10"/>
      <c r="N554" s="13"/>
      <c r="O554" s="10"/>
      <c r="P554" s="10"/>
      <c r="Q554" s="10"/>
      <c r="R554" s="18"/>
      <c r="S554" s="10"/>
      <c r="T554" s="10"/>
      <c r="U554" s="13"/>
      <c r="V554" s="13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3"/>
      <c r="AL554" s="14"/>
      <c r="AM554" s="15"/>
      <c r="AN554" s="15"/>
      <c r="AO554" s="13"/>
      <c r="AP554" s="13"/>
      <c r="AQ554" s="16"/>
      <c r="AR554" s="10"/>
      <c r="AS554" s="10"/>
      <c r="AT554" s="10"/>
      <c r="AU554" s="10"/>
      <c r="AV554" s="11"/>
      <c r="AW554" s="11"/>
      <c r="AX554" s="10"/>
      <c r="AY554" s="11"/>
      <c r="AZ554" s="11"/>
      <c r="BA554" s="11"/>
      <c r="BB554" s="10"/>
      <c r="BC554" s="11"/>
      <c r="BD554" s="11"/>
      <c r="BE554" s="11"/>
      <c r="BF554" s="11"/>
      <c r="BG554" s="11"/>
      <c r="BH554" s="11"/>
      <c r="BI554" s="11"/>
      <c r="BJ554" s="11"/>
      <c r="BK554" s="11"/>
      <c r="BL554" s="11"/>
      <c r="BM554" s="11"/>
      <c r="BN554" s="11"/>
      <c r="BO554" s="11"/>
      <c r="BP554" s="11"/>
      <c r="BQ554" s="11"/>
      <c r="BR554" s="11"/>
      <c r="BS554" s="11"/>
      <c r="BT554" s="11"/>
      <c r="BU554" s="11"/>
      <c r="BV554" s="11"/>
      <c r="BW554" s="11"/>
      <c r="BX554" s="11"/>
      <c r="BY554" s="11"/>
      <c r="BZ554" s="11"/>
      <c r="CA554" s="11"/>
      <c r="CB554" s="11"/>
      <c r="CC554" s="17"/>
      <c r="CD554" s="17"/>
      <c r="CE554" s="11"/>
      <c r="CF554" s="13"/>
      <c r="CG554" s="13"/>
      <c r="CH554" s="13"/>
      <c r="CI554" s="13"/>
      <c r="CJ554" s="13"/>
    </row>
    <row r="555" spans="1:88" s="9" customFormat="1" x14ac:dyDescent="0.25">
      <c r="A555" s="10"/>
      <c r="B555" s="10"/>
      <c r="C555" s="10"/>
      <c r="D555" s="10"/>
      <c r="E555" s="11"/>
      <c r="F555" s="10"/>
      <c r="G555" s="10"/>
      <c r="H555" s="10"/>
      <c r="I555" s="10"/>
      <c r="J555" s="10"/>
      <c r="K555" s="12"/>
      <c r="L555" s="10"/>
      <c r="M555" s="10"/>
      <c r="N555" s="13"/>
      <c r="O555" s="10"/>
      <c r="P555" s="10"/>
      <c r="Q555" s="10"/>
      <c r="R555" s="18"/>
      <c r="S555" s="10"/>
      <c r="T555" s="10"/>
      <c r="U555" s="13"/>
      <c r="V555" s="13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3"/>
      <c r="AL555" s="14"/>
      <c r="AM555" s="15"/>
      <c r="AN555" s="15"/>
      <c r="AO555" s="13"/>
      <c r="AP555" s="13"/>
      <c r="AQ555" s="16"/>
      <c r="AR555" s="10"/>
      <c r="AS555" s="10"/>
      <c r="AT555" s="10"/>
      <c r="AU555" s="10"/>
      <c r="AV555" s="11"/>
      <c r="AW555" s="11"/>
      <c r="AX555" s="10"/>
      <c r="AY555" s="11"/>
      <c r="AZ555" s="11"/>
      <c r="BA555" s="11"/>
      <c r="BB555" s="10"/>
      <c r="BC555" s="11"/>
      <c r="BD555" s="11"/>
      <c r="BE555" s="11"/>
      <c r="BF555" s="11"/>
      <c r="BG555" s="11"/>
      <c r="BH555" s="11"/>
      <c r="BI555" s="11"/>
      <c r="BJ555" s="11"/>
      <c r="BK555" s="11"/>
      <c r="BL555" s="11"/>
      <c r="BM555" s="11"/>
      <c r="BN555" s="11"/>
      <c r="BO555" s="11"/>
      <c r="BP555" s="11"/>
      <c r="BQ555" s="11"/>
      <c r="BR555" s="11"/>
      <c r="BS555" s="11"/>
      <c r="BT555" s="11"/>
      <c r="BU555" s="11"/>
      <c r="BV555" s="11"/>
      <c r="BW555" s="11"/>
      <c r="BX555" s="11"/>
      <c r="BY555" s="11"/>
      <c r="BZ555" s="11"/>
      <c r="CA555" s="11"/>
      <c r="CB555" s="11"/>
      <c r="CC555" s="17"/>
      <c r="CD555" s="17"/>
      <c r="CE555" s="11"/>
      <c r="CF555" s="13"/>
      <c r="CG555" s="13"/>
      <c r="CH555" s="13"/>
      <c r="CI555" s="13"/>
      <c r="CJ555" s="13"/>
    </row>
    <row r="556" spans="1:88" s="9" customFormat="1" x14ac:dyDescent="0.25">
      <c r="A556" s="10"/>
      <c r="B556" s="10"/>
      <c r="C556" s="10"/>
      <c r="D556" s="10"/>
      <c r="E556" s="11"/>
      <c r="F556" s="10"/>
      <c r="G556" s="10"/>
      <c r="H556" s="10"/>
      <c r="I556" s="10"/>
      <c r="J556" s="10"/>
      <c r="K556" s="12"/>
      <c r="L556" s="10"/>
      <c r="M556" s="10"/>
      <c r="N556" s="13"/>
      <c r="O556" s="10"/>
      <c r="P556" s="10"/>
      <c r="Q556" s="10"/>
      <c r="R556" s="18"/>
      <c r="S556" s="10"/>
      <c r="T556" s="10"/>
      <c r="U556" s="13"/>
      <c r="V556" s="13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3"/>
      <c r="AL556" s="14"/>
      <c r="AM556" s="15"/>
      <c r="AN556" s="15"/>
      <c r="AO556" s="13"/>
      <c r="AP556" s="13"/>
      <c r="AQ556" s="16"/>
      <c r="AR556" s="10"/>
      <c r="AS556" s="10"/>
      <c r="AT556" s="10"/>
      <c r="AU556" s="10"/>
      <c r="AV556" s="11"/>
      <c r="AW556" s="11"/>
      <c r="AX556" s="10"/>
      <c r="AY556" s="11"/>
      <c r="AZ556" s="11"/>
      <c r="BA556" s="11"/>
      <c r="BB556" s="10"/>
      <c r="BC556" s="11"/>
      <c r="BD556" s="11"/>
      <c r="BE556" s="11"/>
      <c r="BF556" s="11"/>
      <c r="BG556" s="11"/>
      <c r="BH556" s="11"/>
      <c r="BI556" s="11"/>
      <c r="BJ556" s="11"/>
      <c r="BK556" s="11"/>
      <c r="BL556" s="11"/>
      <c r="BM556" s="11"/>
      <c r="BN556" s="11"/>
      <c r="BO556" s="11"/>
      <c r="BP556" s="11"/>
      <c r="BQ556" s="11"/>
      <c r="BR556" s="11"/>
      <c r="BS556" s="11"/>
      <c r="BT556" s="11"/>
      <c r="BU556" s="11"/>
      <c r="BV556" s="11"/>
      <c r="BW556" s="11"/>
      <c r="BX556" s="11"/>
      <c r="BY556" s="11"/>
      <c r="BZ556" s="11"/>
      <c r="CA556" s="11"/>
      <c r="CB556" s="11"/>
      <c r="CC556" s="17"/>
      <c r="CD556" s="17"/>
      <c r="CE556" s="11"/>
      <c r="CF556" s="13"/>
      <c r="CG556" s="13"/>
      <c r="CH556" s="13"/>
      <c r="CI556" s="13"/>
      <c r="CJ556" s="13"/>
    </row>
    <row r="557" spans="1:88" s="9" customFormat="1" x14ac:dyDescent="0.25">
      <c r="A557" s="10"/>
      <c r="B557" s="10"/>
      <c r="C557" s="10"/>
      <c r="D557" s="10"/>
      <c r="E557" s="11"/>
      <c r="F557" s="10"/>
      <c r="G557" s="10"/>
      <c r="H557" s="10"/>
      <c r="I557" s="10"/>
      <c r="J557" s="10"/>
      <c r="K557" s="12"/>
      <c r="L557" s="10"/>
      <c r="M557" s="10"/>
      <c r="N557" s="13"/>
      <c r="O557" s="10"/>
      <c r="P557" s="10"/>
      <c r="Q557" s="10"/>
      <c r="R557" s="18"/>
      <c r="S557" s="10"/>
      <c r="T557" s="10"/>
      <c r="U557" s="13"/>
      <c r="V557" s="13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3"/>
      <c r="AL557" s="14"/>
      <c r="AM557" s="15"/>
      <c r="AN557" s="15"/>
      <c r="AO557" s="13"/>
      <c r="AP557" s="13"/>
      <c r="AQ557" s="16"/>
      <c r="AR557" s="10"/>
      <c r="AS557" s="10"/>
      <c r="AT557" s="10"/>
      <c r="AU557" s="10"/>
      <c r="AV557" s="11"/>
      <c r="AW557" s="11"/>
      <c r="AX557" s="10"/>
      <c r="AY557" s="11"/>
      <c r="AZ557" s="11"/>
      <c r="BA557" s="11"/>
      <c r="BB557" s="10"/>
      <c r="BC557" s="11"/>
      <c r="BD557" s="11"/>
      <c r="BE557" s="11"/>
      <c r="BF557" s="11"/>
      <c r="BG557" s="11"/>
      <c r="BH557" s="11"/>
      <c r="BI557" s="11"/>
      <c r="BJ557" s="11"/>
      <c r="BK557" s="11"/>
      <c r="BL557" s="11"/>
      <c r="BM557" s="11"/>
      <c r="BN557" s="11"/>
      <c r="BO557" s="11"/>
      <c r="BP557" s="11"/>
      <c r="BQ557" s="11"/>
      <c r="BR557" s="11"/>
      <c r="BS557" s="11"/>
      <c r="BT557" s="11"/>
      <c r="BU557" s="11"/>
      <c r="BV557" s="11"/>
      <c r="BW557" s="11"/>
      <c r="BX557" s="11"/>
      <c r="BY557" s="11"/>
      <c r="BZ557" s="11"/>
      <c r="CA557" s="11"/>
      <c r="CB557" s="11"/>
      <c r="CC557" s="17"/>
      <c r="CD557" s="17"/>
      <c r="CE557" s="11"/>
      <c r="CF557" s="13"/>
      <c r="CG557" s="13"/>
      <c r="CH557" s="13"/>
      <c r="CI557" s="13"/>
      <c r="CJ557" s="13"/>
    </row>
    <row r="558" spans="1:88" s="9" customFormat="1" x14ac:dyDescent="0.25">
      <c r="A558" s="10"/>
      <c r="B558" s="10"/>
      <c r="C558" s="10"/>
      <c r="D558" s="10"/>
      <c r="E558" s="11"/>
      <c r="F558" s="10"/>
      <c r="G558" s="10"/>
      <c r="H558" s="10"/>
      <c r="I558" s="10"/>
      <c r="J558" s="10"/>
      <c r="K558" s="12"/>
      <c r="L558" s="10"/>
      <c r="M558" s="10"/>
      <c r="N558" s="13"/>
      <c r="O558" s="10"/>
      <c r="P558" s="10"/>
      <c r="Q558" s="10"/>
      <c r="R558" s="18"/>
      <c r="S558" s="10"/>
      <c r="T558" s="10"/>
      <c r="U558" s="13"/>
      <c r="V558" s="13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3"/>
      <c r="AL558" s="14"/>
      <c r="AM558" s="15"/>
      <c r="AN558" s="15"/>
      <c r="AO558" s="13"/>
      <c r="AP558" s="13"/>
      <c r="AQ558" s="16"/>
      <c r="AR558" s="10"/>
      <c r="AS558" s="10"/>
      <c r="AT558" s="10"/>
      <c r="AU558" s="10"/>
      <c r="AV558" s="11"/>
      <c r="AW558" s="11"/>
      <c r="AX558" s="10"/>
      <c r="AY558" s="11"/>
      <c r="AZ558" s="11"/>
      <c r="BA558" s="11"/>
      <c r="BB558" s="10"/>
      <c r="BC558" s="11"/>
      <c r="BD558" s="11"/>
      <c r="BE558" s="11"/>
      <c r="BF558" s="11"/>
      <c r="BG558" s="11"/>
      <c r="BH558" s="11"/>
      <c r="BI558" s="11"/>
      <c r="BJ558" s="11"/>
      <c r="BK558" s="11"/>
      <c r="BL558" s="11"/>
      <c r="BM558" s="11"/>
      <c r="BN558" s="11"/>
      <c r="BO558" s="11"/>
      <c r="BP558" s="11"/>
      <c r="BQ558" s="11"/>
      <c r="BR558" s="11"/>
      <c r="BS558" s="11"/>
      <c r="BT558" s="11"/>
      <c r="BU558" s="11"/>
      <c r="BV558" s="11"/>
      <c r="BW558" s="11"/>
      <c r="BX558" s="11"/>
      <c r="BY558" s="11"/>
      <c r="BZ558" s="11"/>
      <c r="CA558" s="11"/>
      <c r="CB558" s="11"/>
      <c r="CC558" s="17"/>
      <c r="CD558" s="17"/>
      <c r="CE558" s="11"/>
      <c r="CF558" s="13"/>
      <c r="CG558" s="13"/>
      <c r="CH558" s="13"/>
      <c r="CI558" s="13"/>
      <c r="CJ558" s="13"/>
    </row>
    <row r="559" spans="1:88" s="9" customFormat="1" x14ac:dyDescent="0.25">
      <c r="A559" s="10"/>
      <c r="B559" s="10"/>
      <c r="C559" s="10"/>
      <c r="D559" s="10"/>
      <c r="E559" s="11"/>
      <c r="F559" s="10"/>
      <c r="G559" s="10"/>
      <c r="H559" s="10"/>
      <c r="I559" s="10"/>
      <c r="J559" s="10"/>
      <c r="K559" s="12"/>
      <c r="L559" s="10"/>
      <c r="M559" s="10"/>
      <c r="N559" s="13"/>
      <c r="O559" s="10"/>
      <c r="P559" s="10"/>
      <c r="Q559" s="10"/>
      <c r="R559" s="18"/>
      <c r="S559" s="10"/>
      <c r="T559" s="10"/>
      <c r="U559" s="13"/>
      <c r="V559" s="13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3"/>
      <c r="AL559" s="14"/>
      <c r="AM559" s="15"/>
      <c r="AN559" s="15"/>
      <c r="AO559" s="13"/>
      <c r="AP559" s="13"/>
      <c r="AQ559" s="16"/>
      <c r="AR559" s="10"/>
      <c r="AS559" s="10"/>
      <c r="AT559" s="10"/>
      <c r="AU559" s="10"/>
      <c r="AV559" s="11"/>
      <c r="AW559" s="11"/>
      <c r="AX559" s="10"/>
      <c r="AY559" s="11"/>
      <c r="AZ559" s="11"/>
      <c r="BA559" s="11"/>
      <c r="BB559" s="10"/>
      <c r="BC559" s="11"/>
      <c r="BD559" s="11"/>
      <c r="BE559" s="11"/>
      <c r="BF559" s="11"/>
      <c r="BG559" s="11"/>
      <c r="BH559" s="11"/>
      <c r="BI559" s="11"/>
      <c r="BJ559" s="11"/>
      <c r="BK559" s="11"/>
      <c r="BL559" s="11"/>
      <c r="BM559" s="11"/>
      <c r="BN559" s="11"/>
      <c r="BO559" s="11"/>
      <c r="BP559" s="11"/>
      <c r="BQ559" s="11"/>
      <c r="BR559" s="11"/>
      <c r="BS559" s="11"/>
      <c r="BT559" s="11"/>
      <c r="BU559" s="11"/>
      <c r="BV559" s="11"/>
      <c r="BW559" s="11"/>
      <c r="BX559" s="11"/>
      <c r="BY559" s="11"/>
      <c r="BZ559" s="11"/>
      <c r="CA559" s="11"/>
      <c r="CB559" s="11"/>
      <c r="CC559" s="17"/>
      <c r="CD559" s="17"/>
      <c r="CE559" s="11"/>
      <c r="CF559" s="13"/>
      <c r="CG559" s="13"/>
      <c r="CH559" s="13"/>
      <c r="CI559" s="13"/>
      <c r="CJ559" s="13"/>
    </row>
    <row r="560" spans="1:88" s="9" customFormat="1" x14ac:dyDescent="0.25">
      <c r="A560" s="10"/>
      <c r="B560" s="10"/>
      <c r="C560" s="10"/>
      <c r="D560" s="10"/>
      <c r="E560" s="11"/>
      <c r="F560" s="10"/>
      <c r="G560" s="10"/>
      <c r="H560" s="10"/>
      <c r="I560" s="10"/>
      <c r="J560" s="10"/>
      <c r="K560" s="12"/>
      <c r="L560" s="10"/>
      <c r="M560" s="10"/>
      <c r="N560" s="13"/>
      <c r="O560" s="10"/>
      <c r="P560" s="10"/>
      <c r="Q560" s="10"/>
      <c r="R560" s="18"/>
      <c r="S560" s="10"/>
      <c r="T560" s="10"/>
      <c r="U560" s="13"/>
      <c r="V560" s="13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3"/>
      <c r="AL560" s="14"/>
      <c r="AM560" s="15"/>
      <c r="AN560" s="15"/>
      <c r="AO560" s="13"/>
      <c r="AP560" s="13"/>
      <c r="AQ560" s="16"/>
      <c r="AR560" s="10"/>
      <c r="AS560" s="10"/>
      <c r="AT560" s="10"/>
      <c r="AU560" s="10"/>
      <c r="AV560" s="11"/>
      <c r="AW560" s="11"/>
      <c r="AX560" s="10"/>
      <c r="AY560" s="11"/>
      <c r="AZ560" s="11"/>
      <c r="BA560" s="11"/>
      <c r="BB560" s="10"/>
      <c r="BC560" s="11"/>
      <c r="BD560" s="11"/>
      <c r="BE560" s="11"/>
      <c r="BF560" s="11"/>
      <c r="BG560" s="11"/>
      <c r="BH560" s="11"/>
      <c r="BI560" s="11"/>
      <c r="BJ560" s="11"/>
      <c r="BK560" s="11"/>
      <c r="BL560" s="11"/>
      <c r="BM560" s="11"/>
      <c r="BN560" s="11"/>
      <c r="BO560" s="11"/>
      <c r="BP560" s="11"/>
      <c r="BQ560" s="11"/>
      <c r="BR560" s="11"/>
      <c r="BS560" s="11"/>
      <c r="BT560" s="11"/>
      <c r="BU560" s="11"/>
      <c r="BV560" s="11"/>
      <c r="BW560" s="11"/>
      <c r="BX560" s="11"/>
      <c r="BY560" s="11"/>
      <c r="BZ560" s="11"/>
      <c r="CA560" s="11"/>
      <c r="CB560" s="11"/>
      <c r="CC560" s="17"/>
      <c r="CD560" s="17"/>
      <c r="CE560" s="11"/>
      <c r="CF560" s="13"/>
      <c r="CG560" s="13"/>
      <c r="CH560" s="13"/>
      <c r="CI560" s="13"/>
      <c r="CJ560" s="13"/>
    </row>
    <row r="561" spans="1:88" s="9" customFormat="1" x14ac:dyDescent="0.25">
      <c r="A561" s="10"/>
      <c r="B561" s="10"/>
      <c r="C561" s="10"/>
      <c r="D561" s="10"/>
      <c r="E561" s="11"/>
      <c r="F561" s="10"/>
      <c r="G561" s="10"/>
      <c r="H561" s="10"/>
      <c r="I561" s="10"/>
      <c r="J561" s="10"/>
      <c r="K561" s="12"/>
      <c r="L561" s="10"/>
      <c r="M561" s="10"/>
      <c r="N561" s="13"/>
      <c r="O561" s="10"/>
      <c r="P561" s="10"/>
      <c r="Q561" s="10"/>
      <c r="R561" s="18"/>
      <c r="S561" s="10"/>
      <c r="T561" s="10"/>
      <c r="U561" s="13"/>
      <c r="V561" s="13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3"/>
      <c r="AL561" s="14"/>
      <c r="AM561" s="15"/>
      <c r="AN561" s="15"/>
      <c r="AO561" s="13"/>
      <c r="AP561" s="13"/>
      <c r="AQ561" s="16"/>
      <c r="AR561" s="10"/>
      <c r="AS561" s="10"/>
      <c r="AT561" s="10"/>
      <c r="AU561" s="10"/>
      <c r="AV561" s="11"/>
      <c r="AW561" s="11"/>
      <c r="AX561" s="10"/>
      <c r="AY561" s="11"/>
      <c r="AZ561" s="11"/>
      <c r="BA561" s="11"/>
      <c r="BB561" s="10"/>
      <c r="BC561" s="11"/>
      <c r="BD561" s="11"/>
      <c r="BE561" s="11"/>
      <c r="BF561" s="11"/>
      <c r="BG561" s="11"/>
      <c r="BH561" s="11"/>
      <c r="BI561" s="11"/>
      <c r="BJ561" s="11"/>
      <c r="BK561" s="11"/>
      <c r="BL561" s="11"/>
      <c r="BM561" s="11"/>
      <c r="BN561" s="11"/>
      <c r="BO561" s="11"/>
      <c r="BP561" s="11"/>
      <c r="BQ561" s="11"/>
      <c r="BR561" s="11"/>
      <c r="BS561" s="11"/>
      <c r="BT561" s="11"/>
      <c r="BU561" s="11"/>
      <c r="BV561" s="11"/>
      <c r="BW561" s="11"/>
      <c r="BX561" s="11"/>
      <c r="BY561" s="11"/>
      <c r="BZ561" s="11"/>
      <c r="CA561" s="11"/>
      <c r="CB561" s="11"/>
      <c r="CC561" s="17"/>
      <c r="CD561" s="17"/>
      <c r="CE561" s="11"/>
      <c r="CF561" s="13"/>
      <c r="CG561" s="13"/>
      <c r="CH561" s="13"/>
      <c r="CI561" s="13"/>
      <c r="CJ561" s="13"/>
    </row>
    <row r="562" spans="1:88" s="9" customFormat="1" x14ac:dyDescent="0.25">
      <c r="A562" s="10"/>
      <c r="B562" s="10"/>
      <c r="C562" s="10"/>
      <c r="D562" s="10"/>
      <c r="E562" s="11"/>
      <c r="F562" s="10"/>
      <c r="G562" s="10"/>
      <c r="H562" s="10"/>
      <c r="I562" s="10"/>
      <c r="J562" s="10"/>
      <c r="K562" s="12"/>
      <c r="L562" s="10"/>
      <c r="M562" s="10"/>
      <c r="N562" s="13"/>
      <c r="O562" s="10"/>
      <c r="P562" s="10"/>
      <c r="Q562" s="10"/>
      <c r="R562" s="18"/>
      <c r="S562" s="10"/>
      <c r="T562" s="10"/>
      <c r="U562" s="13"/>
      <c r="V562" s="13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3"/>
      <c r="AL562" s="14"/>
      <c r="AM562" s="15"/>
      <c r="AN562" s="15"/>
      <c r="AO562" s="13"/>
      <c r="AP562" s="13"/>
      <c r="AQ562" s="16"/>
      <c r="AR562" s="10"/>
      <c r="AS562" s="10"/>
      <c r="AT562" s="10"/>
      <c r="AU562" s="10"/>
      <c r="AV562" s="11"/>
      <c r="AW562" s="11"/>
      <c r="AX562" s="10"/>
      <c r="AY562" s="11"/>
      <c r="AZ562" s="11"/>
      <c r="BA562" s="11"/>
      <c r="BB562" s="10"/>
      <c r="BC562" s="11"/>
      <c r="BD562" s="11"/>
      <c r="BE562" s="11"/>
      <c r="BF562" s="11"/>
      <c r="BG562" s="11"/>
      <c r="BH562" s="11"/>
      <c r="BI562" s="11"/>
      <c r="BJ562" s="11"/>
      <c r="BK562" s="11"/>
      <c r="BL562" s="11"/>
      <c r="BM562" s="11"/>
      <c r="BN562" s="11"/>
      <c r="BO562" s="11"/>
      <c r="BP562" s="11"/>
      <c r="BQ562" s="11"/>
      <c r="BR562" s="11"/>
      <c r="BS562" s="11"/>
      <c r="BT562" s="11"/>
      <c r="BU562" s="11"/>
      <c r="BV562" s="11"/>
      <c r="BW562" s="11"/>
      <c r="BX562" s="11"/>
      <c r="BY562" s="11"/>
      <c r="BZ562" s="11"/>
      <c r="CA562" s="11"/>
      <c r="CB562" s="11"/>
      <c r="CC562" s="17"/>
      <c r="CD562" s="17"/>
      <c r="CE562" s="11"/>
      <c r="CF562" s="13"/>
      <c r="CG562" s="13"/>
      <c r="CH562" s="13"/>
      <c r="CI562" s="13"/>
      <c r="CJ562" s="13"/>
    </row>
    <row r="563" spans="1:88" s="9" customFormat="1" x14ac:dyDescent="0.25">
      <c r="A563" s="10"/>
      <c r="B563" s="10"/>
      <c r="C563" s="10"/>
      <c r="D563" s="10"/>
      <c r="E563" s="11"/>
      <c r="F563" s="10"/>
      <c r="G563" s="10"/>
      <c r="H563" s="10"/>
      <c r="I563" s="10"/>
      <c r="J563" s="10"/>
      <c r="K563" s="12"/>
      <c r="L563" s="10"/>
      <c r="M563" s="10"/>
      <c r="N563" s="13"/>
      <c r="O563" s="10"/>
      <c r="P563" s="10"/>
      <c r="Q563" s="10"/>
      <c r="R563" s="18"/>
      <c r="S563" s="10"/>
      <c r="T563" s="10"/>
      <c r="U563" s="13"/>
      <c r="V563" s="13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3"/>
      <c r="AL563" s="14"/>
      <c r="AM563" s="15"/>
      <c r="AN563" s="15"/>
      <c r="AO563" s="13"/>
      <c r="AP563" s="13"/>
      <c r="AQ563" s="16"/>
      <c r="AR563" s="10"/>
      <c r="AS563" s="10"/>
      <c r="AT563" s="10"/>
      <c r="AU563" s="10"/>
      <c r="AV563" s="11"/>
      <c r="AW563" s="11"/>
      <c r="AX563" s="10"/>
      <c r="AY563" s="11"/>
      <c r="AZ563" s="11"/>
      <c r="BA563" s="11"/>
      <c r="BB563" s="10"/>
      <c r="BC563" s="11"/>
      <c r="BD563" s="11"/>
      <c r="BE563" s="11"/>
      <c r="BF563" s="11"/>
      <c r="BG563" s="11"/>
      <c r="BH563" s="11"/>
      <c r="BI563" s="11"/>
      <c r="BJ563" s="11"/>
      <c r="BK563" s="11"/>
      <c r="BL563" s="11"/>
      <c r="BM563" s="11"/>
      <c r="BN563" s="11"/>
      <c r="BO563" s="11"/>
      <c r="BP563" s="11"/>
      <c r="BQ563" s="11"/>
      <c r="BR563" s="11"/>
      <c r="BS563" s="11"/>
      <c r="BT563" s="11"/>
      <c r="BU563" s="11"/>
      <c r="BV563" s="11"/>
      <c r="BW563" s="11"/>
      <c r="BX563" s="11"/>
      <c r="BY563" s="11"/>
      <c r="BZ563" s="11"/>
      <c r="CA563" s="11"/>
      <c r="CB563" s="11"/>
      <c r="CC563" s="17"/>
      <c r="CD563" s="17"/>
      <c r="CE563" s="11"/>
      <c r="CF563" s="13"/>
      <c r="CG563" s="13"/>
      <c r="CH563" s="13"/>
      <c r="CI563" s="13"/>
      <c r="CJ563" s="13"/>
    </row>
    <row r="564" spans="1:88" s="9" customFormat="1" x14ac:dyDescent="0.25">
      <c r="A564" s="10"/>
      <c r="B564" s="10"/>
      <c r="C564" s="10"/>
      <c r="D564" s="10"/>
      <c r="E564" s="11"/>
      <c r="F564" s="10"/>
      <c r="G564" s="10"/>
      <c r="H564" s="10"/>
      <c r="I564" s="10"/>
      <c r="J564" s="10"/>
      <c r="K564" s="12"/>
      <c r="L564" s="10"/>
      <c r="M564" s="10"/>
      <c r="N564" s="13"/>
      <c r="O564" s="10"/>
      <c r="P564" s="10"/>
      <c r="Q564" s="10"/>
      <c r="R564" s="18"/>
      <c r="S564" s="10"/>
      <c r="T564" s="10"/>
      <c r="U564" s="13"/>
      <c r="V564" s="13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3"/>
      <c r="AL564" s="14"/>
      <c r="AM564" s="15"/>
      <c r="AN564" s="15"/>
      <c r="AO564" s="13"/>
      <c r="AP564" s="13"/>
      <c r="AQ564" s="16"/>
      <c r="AR564" s="10"/>
      <c r="AS564" s="10"/>
      <c r="AT564" s="10"/>
      <c r="AU564" s="10"/>
      <c r="AV564" s="11"/>
      <c r="AW564" s="11"/>
      <c r="AX564" s="10"/>
      <c r="AY564" s="11"/>
      <c r="AZ564" s="11"/>
      <c r="BA564" s="11"/>
      <c r="BB564" s="10"/>
      <c r="BC564" s="11"/>
      <c r="BD564" s="11"/>
      <c r="BE564" s="11"/>
      <c r="BF564" s="11"/>
      <c r="BG564" s="11"/>
      <c r="BH564" s="11"/>
      <c r="BI564" s="11"/>
      <c r="BJ564" s="11"/>
      <c r="BK564" s="11"/>
      <c r="BL564" s="11"/>
      <c r="BM564" s="11"/>
      <c r="BN564" s="11"/>
      <c r="BO564" s="11"/>
      <c r="BP564" s="11"/>
      <c r="BQ564" s="11"/>
      <c r="BR564" s="11"/>
      <c r="BS564" s="11"/>
      <c r="BT564" s="11"/>
      <c r="BU564" s="11"/>
      <c r="BV564" s="11"/>
      <c r="BW564" s="11"/>
      <c r="BX564" s="11"/>
      <c r="BY564" s="11"/>
      <c r="BZ564" s="11"/>
      <c r="CA564" s="11"/>
      <c r="CB564" s="11"/>
      <c r="CC564" s="17"/>
      <c r="CD564" s="17"/>
      <c r="CE564" s="11"/>
      <c r="CF564" s="13"/>
      <c r="CG564" s="13"/>
      <c r="CH564" s="13"/>
      <c r="CI564" s="13"/>
      <c r="CJ564" s="13"/>
    </row>
    <row r="565" spans="1:88" s="9" customFormat="1" x14ac:dyDescent="0.25">
      <c r="A565" s="10"/>
      <c r="B565" s="10"/>
      <c r="C565" s="10"/>
      <c r="D565" s="10"/>
      <c r="E565" s="11"/>
      <c r="F565" s="10"/>
      <c r="G565" s="10"/>
      <c r="H565" s="10"/>
      <c r="I565" s="10"/>
      <c r="J565" s="10"/>
      <c r="K565" s="12"/>
      <c r="L565" s="10"/>
      <c r="M565" s="10"/>
      <c r="N565" s="13"/>
      <c r="O565" s="10"/>
      <c r="P565" s="10"/>
      <c r="Q565" s="10"/>
      <c r="R565" s="18"/>
      <c r="S565" s="10"/>
      <c r="T565" s="10"/>
      <c r="U565" s="13"/>
      <c r="V565" s="13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3"/>
      <c r="AL565" s="14"/>
      <c r="AM565" s="15"/>
      <c r="AN565" s="15"/>
      <c r="AO565" s="13"/>
      <c r="AP565" s="13"/>
      <c r="AQ565" s="16"/>
      <c r="AR565" s="10"/>
      <c r="AS565" s="10"/>
      <c r="AT565" s="10"/>
      <c r="AU565" s="10"/>
      <c r="AV565" s="11"/>
      <c r="AW565" s="11"/>
      <c r="AX565" s="10"/>
      <c r="AY565" s="11"/>
      <c r="AZ565" s="11"/>
      <c r="BA565" s="11"/>
      <c r="BB565" s="10"/>
      <c r="BC565" s="11"/>
      <c r="BD565" s="11"/>
      <c r="BE565" s="11"/>
      <c r="BF565" s="11"/>
      <c r="BG565" s="11"/>
      <c r="BH565" s="11"/>
      <c r="BI565" s="11"/>
      <c r="BJ565" s="11"/>
      <c r="BK565" s="11"/>
      <c r="BL565" s="11"/>
      <c r="BM565" s="11"/>
      <c r="BN565" s="11"/>
      <c r="BO565" s="11"/>
      <c r="BP565" s="11"/>
      <c r="BQ565" s="11"/>
      <c r="BR565" s="11"/>
      <c r="BS565" s="11"/>
      <c r="BT565" s="11"/>
      <c r="BU565" s="11"/>
      <c r="BV565" s="11"/>
      <c r="BW565" s="11"/>
      <c r="BX565" s="11"/>
      <c r="BY565" s="11"/>
      <c r="BZ565" s="11"/>
      <c r="CA565" s="11"/>
      <c r="CB565" s="11"/>
      <c r="CC565" s="17"/>
      <c r="CD565" s="17"/>
      <c r="CE565" s="11"/>
      <c r="CF565" s="13"/>
      <c r="CG565" s="13"/>
      <c r="CH565" s="13"/>
      <c r="CI565" s="13"/>
      <c r="CJ565" s="13"/>
    </row>
    <row r="566" spans="1:88" s="9" customFormat="1" x14ac:dyDescent="0.25">
      <c r="A566" s="10"/>
      <c r="B566" s="10"/>
      <c r="C566" s="10"/>
      <c r="D566" s="10"/>
      <c r="E566" s="11"/>
      <c r="F566" s="10"/>
      <c r="G566" s="10"/>
      <c r="H566" s="10"/>
      <c r="I566" s="10"/>
      <c r="J566" s="10"/>
      <c r="K566" s="12"/>
      <c r="L566" s="10"/>
      <c r="M566" s="10"/>
      <c r="N566" s="13"/>
      <c r="O566" s="10"/>
      <c r="P566" s="10"/>
      <c r="Q566" s="10"/>
      <c r="R566" s="18"/>
      <c r="S566" s="10"/>
      <c r="T566" s="10"/>
      <c r="U566" s="13"/>
      <c r="V566" s="13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3"/>
      <c r="AL566" s="14"/>
      <c r="AM566" s="15"/>
      <c r="AN566" s="15"/>
      <c r="AO566" s="13"/>
      <c r="AP566" s="13"/>
      <c r="AQ566" s="16"/>
      <c r="AR566" s="10"/>
      <c r="AS566" s="10"/>
      <c r="AT566" s="10"/>
      <c r="AU566" s="10"/>
      <c r="AV566" s="11"/>
      <c r="AW566" s="11"/>
      <c r="AX566" s="10"/>
      <c r="AY566" s="11"/>
      <c r="AZ566" s="11"/>
      <c r="BA566" s="11"/>
      <c r="BB566" s="10"/>
      <c r="BC566" s="11"/>
      <c r="BD566" s="11"/>
      <c r="BE566" s="11"/>
      <c r="BF566" s="11"/>
      <c r="BG566" s="11"/>
      <c r="BH566" s="11"/>
      <c r="BI566" s="11"/>
      <c r="BJ566" s="11"/>
      <c r="BK566" s="11"/>
      <c r="BL566" s="11"/>
      <c r="BM566" s="11"/>
      <c r="BN566" s="11"/>
      <c r="BO566" s="11"/>
      <c r="BP566" s="11"/>
      <c r="BQ566" s="11"/>
      <c r="BR566" s="11"/>
      <c r="BS566" s="11"/>
      <c r="BT566" s="11"/>
      <c r="BU566" s="11"/>
      <c r="BV566" s="11"/>
      <c r="BW566" s="11"/>
      <c r="BX566" s="11"/>
      <c r="BY566" s="11"/>
      <c r="BZ566" s="11"/>
      <c r="CA566" s="11"/>
      <c r="CB566" s="11"/>
      <c r="CC566" s="17"/>
      <c r="CD566" s="17"/>
      <c r="CE566" s="11"/>
      <c r="CF566" s="13"/>
      <c r="CG566" s="13"/>
      <c r="CH566" s="13"/>
      <c r="CI566" s="13"/>
      <c r="CJ566" s="13"/>
    </row>
    <row r="567" spans="1:88" s="9" customFormat="1" x14ac:dyDescent="0.25">
      <c r="A567" s="10"/>
      <c r="B567" s="10"/>
      <c r="C567" s="10"/>
      <c r="D567" s="10"/>
      <c r="E567" s="11"/>
      <c r="F567" s="10"/>
      <c r="G567" s="10"/>
      <c r="H567" s="10"/>
      <c r="I567" s="10"/>
      <c r="J567" s="10"/>
      <c r="K567" s="12"/>
      <c r="L567" s="10"/>
      <c r="M567" s="10"/>
      <c r="N567" s="13"/>
      <c r="O567" s="10"/>
      <c r="P567" s="10"/>
      <c r="Q567" s="10"/>
      <c r="R567" s="18"/>
      <c r="S567" s="10"/>
      <c r="T567" s="10"/>
      <c r="U567" s="13"/>
      <c r="V567" s="13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3"/>
      <c r="AL567" s="14"/>
      <c r="AM567" s="15"/>
      <c r="AN567" s="15"/>
      <c r="AO567" s="13"/>
      <c r="AP567" s="13"/>
      <c r="AQ567" s="16"/>
      <c r="AR567" s="10"/>
      <c r="AS567" s="10"/>
      <c r="AT567" s="10"/>
      <c r="AU567" s="10"/>
      <c r="AV567" s="11"/>
      <c r="AW567" s="11"/>
      <c r="AX567" s="10"/>
      <c r="AY567" s="11"/>
      <c r="AZ567" s="11"/>
      <c r="BA567" s="11"/>
      <c r="BB567" s="10"/>
      <c r="BC567" s="11"/>
      <c r="BD567" s="11"/>
      <c r="BE567" s="11"/>
      <c r="BF567" s="11"/>
      <c r="BG567" s="11"/>
      <c r="BH567" s="11"/>
      <c r="BI567" s="11"/>
      <c r="BJ567" s="11"/>
      <c r="BK567" s="11"/>
      <c r="BL567" s="11"/>
      <c r="BM567" s="11"/>
      <c r="BN567" s="11"/>
      <c r="BO567" s="11"/>
      <c r="BP567" s="11"/>
      <c r="BQ567" s="11"/>
      <c r="BR567" s="11"/>
      <c r="BS567" s="11"/>
      <c r="BT567" s="11"/>
      <c r="BU567" s="11"/>
      <c r="BV567" s="11"/>
      <c r="BW567" s="11"/>
      <c r="BX567" s="11"/>
      <c r="BY567" s="11"/>
      <c r="BZ567" s="11"/>
      <c r="CA567" s="11"/>
      <c r="CB567" s="11"/>
      <c r="CC567" s="17"/>
      <c r="CD567" s="17"/>
      <c r="CE567" s="11"/>
      <c r="CF567" s="13"/>
      <c r="CG567" s="13"/>
      <c r="CH567" s="13"/>
      <c r="CI567" s="13"/>
      <c r="CJ567" s="13"/>
    </row>
    <row r="568" spans="1:88" s="9" customFormat="1" x14ac:dyDescent="0.25">
      <c r="A568" s="10"/>
      <c r="B568" s="10"/>
      <c r="C568" s="10"/>
      <c r="D568" s="10"/>
      <c r="E568" s="11"/>
      <c r="F568" s="10"/>
      <c r="G568" s="10"/>
      <c r="H568" s="10"/>
      <c r="I568" s="10"/>
      <c r="J568" s="10"/>
      <c r="K568" s="12"/>
      <c r="L568" s="10"/>
      <c r="M568" s="10"/>
      <c r="N568" s="13"/>
      <c r="O568" s="10"/>
      <c r="P568" s="10"/>
      <c r="Q568" s="10"/>
      <c r="R568" s="18"/>
      <c r="S568" s="10"/>
      <c r="T568" s="10"/>
      <c r="U568" s="13"/>
      <c r="V568" s="13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3"/>
      <c r="AL568" s="14"/>
      <c r="AM568" s="15"/>
      <c r="AN568" s="15"/>
      <c r="AO568" s="13"/>
      <c r="AP568" s="13"/>
      <c r="AQ568" s="16"/>
      <c r="AR568" s="10"/>
      <c r="AS568" s="10"/>
      <c r="AT568" s="10"/>
      <c r="AU568" s="10"/>
      <c r="AV568" s="11"/>
      <c r="AW568" s="11"/>
      <c r="AX568" s="10"/>
      <c r="AY568" s="11"/>
      <c r="AZ568" s="11"/>
      <c r="BA568" s="11"/>
      <c r="BB568" s="10"/>
      <c r="BC568" s="11"/>
      <c r="BD568" s="11"/>
      <c r="BE568" s="11"/>
      <c r="BF568" s="11"/>
      <c r="BG568" s="11"/>
      <c r="BH568" s="11"/>
      <c r="BI568" s="11"/>
      <c r="BJ568" s="11"/>
      <c r="BK568" s="11"/>
      <c r="BL568" s="11"/>
      <c r="BM568" s="11"/>
      <c r="BN568" s="11"/>
      <c r="BO568" s="11"/>
      <c r="BP568" s="11"/>
      <c r="BQ568" s="11"/>
      <c r="BR568" s="11"/>
      <c r="BS568" s="11"/>
      <c r="BT568" s="11"/>
      <c r="BU568" s="11"/>
      <c r="BV568" s="11"/>
      <c r="BW568" s="11"/>
      <c r="BX568" s="11"/>
      <c r="BY568" s="11"/>
      <c r="BZ568" s="11"/>
      <c r="CA568" s="11"/>
      <c r="CB568" s="11"/>
      <c r="CC568" s="17"/>
      <c r="CD568" s="17"/>
      <c r="CE568" s="11"/>
      <c r="CF568" s="13"/>
      <c r="CG568" s="13"/>
      <c r="CH568" s="13"/>
      <c r="CI568" s="13"/>
      <c r="CJ568" s="13"/>
    </row>
    <row r="569" spans="1:88" s="9" customFormat="1" x14ac:dyDescent="0.25">
      <c r="A569" s="10"/>
      <c r="B569" s="10"/>
      <c r="C569" s="10"/>
      <c r="D569" s="10"/>
      <c r="E569" s="11"/>
      <c r="F569" s="10"/>
      <c r="G569" s="10"/>
      <c r="H569" s="10"/>
      <c r="I569" s="10"/>
      <c r="J569" s="10"/>
      <c r="K569" s="12"/>
      <c r="L569" s="10"/>
      <c r="M569" s="10"/>
      <c r="N569" s="13"/>
      <c r="O569" s="10"/>
      <c r="P569" s="10"/>
      <c r="Q569" s="10"/>
      <c r="R569" s="18"/>
      <c r="S569" s="10"/>
      <c r="T569" s="10"/>
      <c r="U569" s="13"/>
      <c r="V569" s="13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3"/>
      <c r="AL569" s="14"/>
      <c r="AM569" s="15"/>
      <c r="AN569" s="15"/>
      <c r="AO569" s="13"/>
      <c r="AP569" s="13"/>
      <c r="AQ569" s="16"/>
      <c r="AR569" s="10"/>
      <c r="AS569" s="10"/>
      <c r="AT569" s="10"/>
      <c r="AU569" s="10"/>
      <c r="AV569" s="11"/>
      <c r="AW569" s="11"/>
      <c r="AX569" s="10"/>
      <c r="AY569" s="11"/>
      <c r="AZ569" s="11"/>
      <c r="BA569" s="11"/>
      <c r="BB569" s="10"/>
      <c r="BC569" s="11"/>
      <c r="BD569" s="11"/>
      <c r="BE569" s="11"/>
      <c r="BF569" s="11"/>
      <c r="BG569" s="11"/>
      <c r="BH569" s="11"/>
      <c r="BI569" s="11"/>
      <c r="BJ569" s="11"/>
      <c r="BK569" s="11"/>
      <c r="BL569" s="11"/>
      <c r="BM569" s="11"/>
      <c r="BN569" s="11"/>
      <c r="BO569" s="11"/>
      <c r="BP569" s="11"/>
      <c r="BQ569" s="11"/>
      <c r="BR569" s="11"/>
      <c r="BS569" s="11"/>
      <c r="BT569" s="11"/>
      <c r="BU569" s="11"/>
      <c r="BV569" s="11"/>
      <c r="BW569" s="11"/>
      <c r="BX569" s="11"/>
      <c r="BY569" s="11"/>
      <c r="BZ569" s="11"/>
      <c r="CA569" s="11"/>
      <c r="CB569" s="11"/>
      <c r="CC569" s="17"/>
      <c r="CD569" s="17"/>
      <c r="CE569" s="11"/>
      <c r="CF569" s="13"/>
      <c r="CG569" s="13"/>
      <c r="CH569" s="13"/>
      <c r="CI569" s="13"/>
      <c r="CJ569" s="13"/>
    </row>
    <row r="570" spans="1:88" s="9" customFormat="1" x14ac:dyDescent="0.25">
      <c r="A570" s="10"/>
      <c r="B570" s="10"/>
      <c r="C570" s="10"/>
      <c r="D570" s="10"/>
      <c r="E570" s="11"/>
      <c r="F570" s="10"/>
      <c r="G570" s="10"/>
      <c r="H570" s="10"/>
      <c r="I570" s="10"/>
      <c r="J570" s="10"/>
      <c r="K570" s="12"/>
      <c r="L570" s="10"/>
      <c r="M570" s="10"/>
      <c r="N570" s="13"/>
      <c r="O570" s="10"/>
      <c r="P570" s="10"/>
      <c r="Q570" s="10"/>
      <c r="R570" s="18"/>
      <c r="S570" s="10"/>
      <c r="T570" s="10"/>
      <c r="U570" s="13"/>
      <c r="V570" s="13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3"/>
      <c r="AL570" s="14"/>
      <c r="AM570" s="15"/>
      <c r="AN570" s="15"/>
      <c r="AO570" s="13"/>
      <c r="AP570" s="13"/>
      <c r="AQ570" s="16"/>
      <c r="AR570" s="10"/>
      <c r="AS570" s="10"/>
      <c r="AT570" s="10"/>
      <c r="AU570" s="10"/>
      <c r="AV570" s="11"/>
      <c r="AW570" s="11"/>
      <c r="AX570" s="10"/>
      <c r="AY570" s="11"/>
      <c r="AZ570" s="11"/>
      <c r="BA570" s="11"/>
      <c r="BB570" s="10"/>
      <c r="BC570" s="11"/>
      <c r="BD570" s="11"/>
      <c r="BE570" s="11"/>
      <c r="BF570" s="11"/>
      <c r="BG570" s="11"/>
      <c r="BH570" s="11"/>
      <c r="BI570" s="11"/>
      <c r="BJ570" s="11"/>
      <c r="BK570" s="11"/>
      <c r="BL570" s="11"/>
      <c r="BM570" s="11"/>
      <c r="BN570" s="11"/>
      <c r="BO570" s="11"/>
      <c r="BP570" s="11"/>
      <c r="BQ570" s="11"/>
      <c r="BR570" s="11"/>
      <c r="BS570" s="11"/>
      <c r="BT570" s="11"/>
      <c r="BU570" s="11"/>
      <c r="BV570" s="11"/>
      <c r="BW570" s="11"/>
      <c r="BX570" s="11"/>
      <c r="BY570" s="11"/>
      <c r="BZ570" s="11"/>
      <c r="CA570" s="11"/>
      <c r="CB570" s="11"/>
      <c r="CC570" s="17"/>
      <c r="CD570" s="17"/>
      <c r="CE570" s="11"/>
      <c r="CF570" s="13"/>
      <c r="CG570" s="13"/>
      <c r="CH570" s="13"/>
      <c r="CI570" s="13"/>
      <c r="CJ570" s="13"/>
    </row>
    <row r="571" spans="1:88" s="9" customFormat="1" x14ac:dyDescent="0.25">
      <c r="A571" s="10"/>
      <c r="B571" s="10"/>
      <c r="C571" s="10"/>
      <c r="D571" s="10"/>
      <c r="E571" s="11"/>
      <c r="F571" s="10"/>
      <c r="G571" s="10"/>
      <c r="H571" s="10"/>
      <c r="I571" s="10"/>
      <c r="J571" s="10"/>
      <c r="K571" s="12"/>
      <c r="L571" s="10"/>
      <c r="M571" s="10"/>
      <c r="N571" s="13"/>
      <c r="O571" s="10"/>
      <c r="P571" s="10"/>
      <c r="Q571" s="10"/>
      <c r="R571" s="18"/>
      <c r="S571" s="10"/>
      <c r="T571" s="10"/>
      <c r="U571" s="13"/>
      <c r="V571" s="13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3"/>
      <c r="AL571" s="14"/>
      <c r="AM571" s="15"/>
      <c r="AN571" s="15"/>
      <c r="AO571" s="13"/>
      <c r="AP571" s="13"/>
      <c r="AQ571" s="16"/>
      <c r="AR571" s="10"/>
      <c r="AS571" s="10"/>
      <c r="AT571" s="10"/>
      <c r="AU571" s="10"/>
      <c r="AV571" s="11"/>
      <c r="AW571" s="11"/>
      <c r="AX571" s="10"/>
      <c r="AY571" s="11"/>
      <c r="AZ571" s="11"/>
      <c r="BA571" s="11"/>
      <c r="BB571" s="10"/>
      <c r="BC571" s="11"/>
      <c r="BD571" s="11"/>
      <c r="BE571" s="11"/>
      <c r="BF571" s="11"/>
      <c r="BG571" s="11"/>
      <c r="BH571" s="11"/>
      <c r="BI571" s="11"/>
      <c r="BJ571" s="11"/>
      <c r="BK571" s="11"/>
      <c r="BL571" s="11"/>
      <c r="BM571" s="11"/>
      <c r="BN571" s="11"/>
      <c r="BO571" s="11"/>
      <c r="BP571" s="11"/>
      <c r="BQ571" s="11"/>
      <c r="BR571" s="11"/>
      <c r="BS571" s="11"/>
      <c r="BT571" s="11"/>
      <c r="BU571" s="11"/>
      <c r="BV571" s="11"/>
      <c r="BW571" s="11"/>
      <c r="BX571" s="11"/>
      <c r="BY571" s="11"/>
      <c r="BZ571" s="11"/>
      <c r="CA571" s="11"/>
      <c r="CB571" s="11"/>
      <c r="CC571" s="17"/>
      <c r="CD571" s="17"/>
      <c r="CE571" s="11"/>
      <c r="CF571" s="13"/>
      <c r="CG571" s="13"/>
      <c r="CH571" s="13"/>
      <c r="CI571" s="13"/>
      <c r="CJ571" s="13"/>
    </row>
    <row r="572" spans="1:88" s="9" customFormat="1" x14ac:dyDescent="0.25">
      <c r="A572" s="10"/>
      <c r="B572" s="10"/>
      <c r="C572" s="10"/>
      <c r="D572" s="10"/>
      <c r="E572" s="11"/>
      <c r="F572" s="10"/>
      <c r="G572" s="10"/>
      <c r="H572" s="10"/>
      <c r="I572" s="10"/>
      <c r="J572" s="10"/>
      <c r="K572" s="12"/>
      <c r="L572" s="10"/>
      <c r="M572" s="10"/>
      <c r="N572" s="13"/>
      <c r="O572" s="10"/>
      <c r="P572" s="10"/>
      <c r="Q572" s="10"/>
      <c r="R572" s="18"/>
      <c r="S572" s="10"/>
      <c r="T572" s="10"/>
      <c r="U572" s="13"/>
      <c r="V572" s="13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3"/>
      <c r="AL572" s="14"/>
      <c r="AM572" s="15"/>
      <c r="AN572" s="15"/>
      <c r="AO572" s="13"/>
      <c r="AP572" s="13"/>
      <c r="AQ572" s="16"/>
      <c r="AR572" s="10"/>
      <c r="AS572" s="10"/>
      <c r="AT572" s="10"/>
      <c r="AU572" s="10"/>
      <c r="AV572" s="11"/>
      <c r="AW572" s="11"/>
      <c r="AX572" s="10"/>
      <c r="AY572" s="11"/>
      <c r="AZ572" s="11"/>
      <c r="BA572" s="11"/>
      <c r="BB572" s="10"/>
      <c r="BC572" s="11"/>
      <c r="BD572" s="11"/>
      <c r="BE572" s="11"/>
      <c r="BF572" s="11"/>
      <c r="BG572" s="11"/>
      <c r="BH572" s="11"/>
      <c r="BI572" s="11"/>
      <c r="BJ572" s="11"/>
      <c r="BK572" s="11"/>
      <c r="BL572" s="11"/>
      <c r="BM572" s="11"/>
      <c r="BN572" s="11"/>
      <c r="BO572" s="11"/>
      <c r="BP572" s="11"/>
      <c r="BQ572" s="11"/>
      <c r="BR572" s="11"/>
      <c r="BS572" s="11"/>
      <c r="BT572" s="11"/>
      <c r="BU572" s="11"/>
      <c r="BV572" s="11"/>
      <c r="BW572" s="11"/>
      <c r="BX572" s="11"/>
      <c r="BY572" s="11"/>
      <c r="BZ572" s="11"/>
      <c r="CA572" s="11"/>
      <c r="CB572" s="11"/>
      <c r="CC572" s="17"/>
      <c r="CD572" s="17"/>
      <c r="CE572" s="11"/>
      <c r="CF572" s="13"/>
      <c r="CG572" s="13"/>
      <c r="CH572" s="13"/>
      <c r="CI572" s="13"/>
      <c r="CJ572" s="13"/>
    </row>
    <row r="573" spans="1:88" s="9" customFormat="1" x14ac:dyDescent="0.25">
      <c r="A573" s="10"/>
      <c r="B573" s="10"/>
      <c r="C573" s="10"/>
      <c r="D573" s="10"/>
      <c r="E573" s="11"/>
      <c r="F573" s="10"/>
      <c r="G573" s="10"/>
      <c r="H573" s="10"/>
      <c r="I573" s="10"/>
      <c r="J573" s="10"/>
      <c r="K573" s="12"/>
      <c r="L573" s="10"/>
      <c r="M573" s="10"/>
      <c r="N573" s="13"/>
      <c r="O573" s="10"/>
      <c r="P573" s="10"/>
      <c r="Q573" s="10"/>
      <c r="R573" s="18"/>
      <c r="S573" s="10"/>
      <c r="T573" s="10"/>
      <c r="U573" s="13"/>
      <c r="V573" s="13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3"/>
      <c r="AL573" s="14"/>
      <c r="AM573" s="15"/>
      <c r="AN573" s="15"/>
      <c r="AO573" s="13"/>
      <c r="AP573" s="13"/>
      <c r="AQ573" s="16"/>
      <c r="AR573" s="10"/>
      <c r="AS573" s="10"/>
      <c r="AT573" s="10"/>
      <c r="AU573" s="10"/>
      <c r="AV573" s="11"/>
      <c r="AW573" s="11"/>
      <c r="AX573" s="10"/>
      <c r="AY573" s="11"/>
      <c r="AZ573" s="11"/>
      <c r="BA573" s="11"/>
      <c r="BB573" s="10"/>
      <c r="BC573" s="11"/>
      <c r="BD573" s="11"/>
      <c r="BE573" s="11"/>
      <c r="BF573" s="11"/>
      <c r="BG573" s="11"/>
      <c r="BH573" s="11"/>
      <c r="BI573" s="11"/>
      <c r="BJ573" s="11"/>
      <c r="BK573" s="11"/>
      <c r="BL573" s="11"/>
      <c r="BM573" s="11"/>
      <c r="BN573" s="11"/>
      <c r="BO573" s="11"/>
      <c r="BP573" s="11"/>
      <c r="BQ573" s="11"/>
      <c r="BR573" s="11"/>
      <c r="BS573" s="11"/>
      <c r="BT573" s="11"/>
      <c r="BU573" s="11"/>
      <c r="BV573" s="11"/>
      <c r="BW573" s="11"/>
      <c r="BX573" s="11"/>
      <c r="BY573" s="11"/>
      <c r="BZ573" s="11"/>
      <c r="CA573" s="11"/>
      <c r="CB573" s="11"/>
      <c r="CC573" s="17"/>
      <c r="CD573" s="17"/>
      <c r="CE573" s="11"/>
      <c r="CF573" s="13"/>
      <c r="CG573" s="13"/>
      <c r="CH573" s="13"/>
      <c r="CI573" s="13"/>
      <c r="CJ573" s="13"/>
    </row>
    <row r="574" spans="1:88" s="9" customFormat="1" x14ac:dyDescent="0.25">
      <c r="A574" s="10"/>
      <c r="B574" s="10"/>
      <c r="C574" s="10"/>
      <c r="D574" s="10"/>
      <c r="E574" s="11"/>
      <c r="F574" s="10"/>
      <c r="G574" s="10"/>
      <c r="H574" s="10"/>
      <c r="I574" s="10"/>
      <c r="J574" s="10"/>
      <c r="K574" s="12"/>
      <c r="L574" s="10"/>
      <c r="M574" s="10"/>
      <c r="N574" s="13"/>
      <c r="O574" s="10"/>
      <c r="P574" s="10"/>
      <c r="Q574" s="10"/>
      <c r="R574" s="18"/>
      <c r="S574" s="10"/>
      <c r="T574" s="10"/>
      <c r="U574" s="13"/>
      <c r="V574" s="13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3"/>
      <c r="AL574" s="14"/>
      <c r="AM574" s="15"/>
      <c r="AN574" s="15"/>
      <c r="AO574" s="13"/>
      <c r="AP574" s="13"/>
      <c r="AQ574" s="16"/>
      <c r="AR574" s="10"/>
      <c r="AS574" s="10"/>
      <c r="AT574" s="10"/>
      <c r="AU574" s="10"/>
      <c r="AV574" s="11"/>
      <c r="AW574" s="11"/>
      <c r="AX574" s="10"/>
      <c r="AY574" s="11"/>
      <c r="AZ574" s="11"/>
      <c r="BA574" s="11"/>
      <c r="BB574" s="10"/>
      <c r="BC574" s="11"/>
      <c r="BD574" s="11"/>
      <c r="BE574" s="11"/>
      <c r="BF574" s="11"/>
      <c r="BG574" s="11"/>
      <c r="BH574" s="11"/>
      <c r="BI574" s="11"/>
      <c r="BJ574" s="11"/>
      <c r="BK574" s="11"/>
      <c r="BL574" s="11"/>
      <c r="BM574" s="11"/>
      <c r="BN574" s="11"/>
      <c r="BO574" s="11"/>
      <c r="BP574" s="11"/>
      <c r="BQ574" s="11"/>
      <c r="BR574" s="11"/>
      <c r="BS574" s="11"/>
      <c r="BT574" s="11"/>
      <c r="BU574" s="11"/>
      <c r="BV574" s="11"/>
      <c r="BW574" s="11"/>
      <c r="BX574" s="11"/>
      <c r="BY574" s="11"/>
      <c r="BZ574" s="11"/>
      <c r="CA574" s="11"/>
      <c r="CB574" s="11"/>
      <c r="CC574" s="17"/>
      <c r="CD574" s="17"/>
      <c r="CE574" s="11"/>
      <c r="CF574" s="13"/>
      <c r="CG574" s="13"/>
      <c r="CH574" s="13"/>
      <c r="CI574" s="13"/>
      <c r="CJ574" s="13"/>
    </row>
    <row r="575" spans="1:88" s="9" customFormat="1" x14ac:dyDescent="0.25">
      <c r="A575" s="10"/>
      <c r="B575" s="10"/>
      <c r="C575" s="10"/>
      <c r="D575" s="10"/>
      <c r="E575" s="11"/>
      <c r="F575" s="10"/>
      <c r="G575" s="10"/>
      <c r="H575" s="10"/>
      <c r="I575" s="10"/>
      <c r="J575" s="10"/>
      <c r="K575" s="12"/>
      <c r="L575" s="10"/>
      <c r="M575" s="10"/>
      <c r="N575" s="13"/>
      <c r="O575" s="10"/>
      <c r="P575" s="10"/>
      <c r="Q575" s="10"/>
      <c r="R575" s="18"/>
      <c r="S575" s="10"/>
      <c r="T575" s="10"/>
      <c r="U575" s="13"/>
      <c r="V575" s="13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3"/>
      <c r="AL575" s="14"/>
      <c r="AM575" s="15"/>
      <c r="AN575" s="15"/>
      <c r="AO575" s="13"/>
      <c r="AP575" s="13"/>
      <c r="AQ575" s="16"/>
      <c r="AR575" s="10"/>
      <c r="AS575" s="10"/>
      <c r="AT575" s="10"/>
      <c r="AU575" s="10"/>
      <c r="AV575" s="11"/>
      <c r="AW575" s="11"/>
      <c r="AX575" s="10"/>
      <c r="AY575" s="11"/>
      <c r="AZ575" s="11"/>
      <c r="BA575" s="11"/>
      <c r="BB575" s="10"/>
      <c r="BC575" s="11"/>
      <c r="BD575" s="11"/>
      <c r="BE575" s="11"/>
      <c r="BF575" s="11"/>
      <c r="BG575" s="11"/>
      <c r="BH575" s="11"/>
      <c r="BI575" s="11"/>
      <c r="BJ575" s="11"/>
      <c r="BK575" s="11"/>
      <c r="BL575" s="11"/>
      <c r="BM575" s="11"/>
      <c r="BN575" s="11"/>
      <c r="BO575" s="11"/>
      <c r="BP575" s="11"/>
      <c r="BQ575" s="11"/>
      <c r="BR575" s="11"/>
      <c r="BS575" s="11"/>
      <c r="BT575" s="11"/>
      <c r="BU575" s="11"/>
      <c r="BV575" s="11"/>
      <c r="BW575" s="11"/>
      <c r="BX575" s="11"/>
      <c r="BY575" s="11"/>
      <c r="BZ575" s="11"/>
      <c r="CA575" s="11"/>
      <c r="CB575" s="11"/>
      <c r="CC575" s="17"/>
      <c r="CD575" s="17"/>
      <c r="CE575" s="11"/>
      <c r="CF575" s="13"/>
      <c r="CG575" s="13"/>
      <c r="CH575" s="13"/>
      <c r="CI575" s="13"/>
      <c r="CJ575" s="13"/>
    </row>
    <row r="576" spans="1:88" s="9" customFormat="1" x14ac:dyDescent="0.25">
      <c r="A576" s="10"/>
      <c r="B576" s="10"/>
      <c r="C576" s="10"/>
      <c r="D576" s="10"/>
      <c r="E576" s="11"/>
      <c r="F576" s="10"/>
      <c r="G576" s="10"/>
      <c r="H576" s="10"/>
      <c r="I576" s="10"/>
      <c r="J576" s="10"/>
      <c r="K576" s="12"/>
      <c r="L576" s="10"/>
      <c r="M576" s="10"/>
      <c r="N576" s="13"/>
      <c r="O576" s="10"/>
      <c r="P576" s="10"/>
      <c r="Q576" s="10"/>
      <c r="R576" s="18"/>
      <c r="S576" s="10"/>
      <c r="T576" s="10"/>
      <c r="U576" s="13"/>
      <c r="V576" s="13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3"/>
      <c r="AL576" s="14"/>
      <c r="AM576" s="15"/>
      <c r="AN576" s="15"/>
      <c r="AO576" s="13"/>
      <c r="AP576" s="13"/>
      <c r="AQ576" s="16"/>
      <c r="AR576" s="10"/>
      <c r="AS576" s="10"/>
      <c r="AT576" s="10"/>
      <c r="AU576" s="10"/>
      <c r="AV576" s="11"/>
      <c r="AW576" s="11"/>
      <c r="AX576" s="10"/>
      <c r="AY576" s="11"/>
      <c r="AZ576" s="11"/>
      <c r="BA576" s="11"/>
      <c r="BB576" s="10"/>
      <c r="BC576" s="11"/>
      <c r="BD576" s="11"/>
      <c r="BE576" s="11"/>
      <c r="BF576" s="11"/>
      <c r="BG576" s="11"/>
      <c r="BH576" s="11"/>
      <c r="BI576" s="11"/>
      <c r="BJ576" s="11"/>
      <c r="BK576" s="11"/>
      <c r="BL576" s="11"/>
      <c r="BM576" s="11"/>
      <c r="BN576" s="11"/>
      <c r="BO576" s="11"/>
      <c r="BP576" s="11"/>
      <c r="BQ576" s="11"/>
      <c r="BR576" s="11"/>
      <c r="BS576" s="11"/>
      <c r="BT576" s="11"/>
      <c r="BU576" s="11"/>
      <c r="BV576" s="11"/>
      <c r="BW576" s="11"/>
      <c r="BX576" s="11"/>
      <c r="BY576" s="11"/>
      <c r="BZ576" s="11"/>
      <c r="CA576" s="11"/>
      <c r="CB576" s="11"/>
      <c r="CC576" s="17"/>
      <c r="CD576" s="17"/>
      <c r="CE576" s="11"/>
      <c r="CF576" s="13"/>
      <c r="CG576" s="13"/>
      <c r="CH576" s="13"/>
      <c r="CI576" s="13"/>
      <c r="CJ576" s="13"/>
    </row>
    <row r="577" spans="1:88" s="9" customFormat="1" x14ac:dyDescent="0.25">
      <c r="A577" s="10"/>
      <c r="B577" s="10"/>
      <c r="C577" s="10"/>
      <c r="D577" s="10"/>
      <c r="E577" s="11"/>
      <c r="F577" s="10"/>
      <c r="G577" s="10"/>
      <c r="H577" s="10"/>
      <c r="I577" s="10"/>
      <c r="J577" s="10"/>
      <c r="K577" s="12"/>
      <c r="L577" s="10"/>
      <c r="M577" s="10"/>
      <c r="N577" s="13"/>
      <c r="O577" s="10"/>
      <c r="P577" s="10"/>
      <c r="Q577" s="10"/>
      <c r="R577" s="18"/>
      <c r="S577" s="10"/>
      <c r="T577" s="10"/>
      <c r="U577" s="13"/>
      <c r="V577" s="13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3"/>
      <c r="AL577" s="14"/>
      <c r="AM577" s="15"/>
      <c r="AN577" s="15"/>
      <c r="AO577" s="13"/>
      <c r="AP577" s="13"/>
      <c r="AQ577" s="16"/>
      <c r="AR577" s="10"/>
      <c r="AS577" s="10"/>
      <c r="AT577" s="10"/>
      <c r="AU577" s="10"/>
      <c r="AV577" s="11"/>
      <c r="AW577" s="11"/>
      <c r="AX577" s="10"/>
      <c r="AY577" s="11"/>
      <c r="AZ577" s="11"/>
      <c r="BA577" s="11"/>
      <c r="BB577" s="10"/>
      <c r="BC577" s="11"/>
      <c r="BD577" s="11"/>
      <c r="BE577" s="11"/>
      <c r="BF577" s="11"/>
      <c r="BG577" s="11"/>
      <c r="BH577" s="11"/>
      <c r="BI577" s="11"/>
      <c r="BJ577" s="11"/>
      <c r="BK577" s="11"/>
      <c r="BL577" s="11"/>
      <c r="BM577" s="11"/>
      <c r="BN577" s="11"/>
      <c r="BO577" s="11"/>
      <c r="BP577" s="11"/>
      <c r="BQ577" s="11"/>
      <c r="BR577" s="11"/>
      <c r="BS577" s="11"/>
      <c r="BT577" s="11"/>
      <c r="BU577" s="11"/>
      <c r="BV577" s="11"/>
      <c r="BW577" s="11"/>
      <c r="BX577" s="11"/>
      <c r="BY577" s="11"/>
      <c r="BZ577" s="11"/>
      <c r="CA577" s="11"/>
      <c r="CB577" s="11"/>
      <c r="CC577" s="17"/>
      <c r="CD577" s="17"/>
      <c r="CE577" s="11"/>
      <c r="CF577" s="13"/>
      <c r="CG577" s="13"/>
      <c r="CH577" s="13"/>
      <c r="CI577" s="13"/>
      <c r="CJ577" s="13"/>
    </row>
    <row r="578" spans="1:88" s="9" customFormat="1" x14ac:dyDescent="0.25">
      <c r="A578" s="10"/>
      <c r="B578" s="10"/>
      <c r="C578" s="10"/>
      <c r="D578" s="10"/>
      <c r="E578" s="11"/>
      <c r="F578" s="10"/>
      <c r="G578" s="10"/>
      <c r="H578" s="10"/>
      <c r="I578" s="10"/>
      <c r="J578" s="10"/>
      <c r="K578" s="12"/>
      <c r="L578" s="10"/>
      <c r="M578" s="10"/>
      <c r="N578" s="13"/>
      <c r="O578" s="10"/>
      <c r="P578" s="10"/>
      <c r="Q578" s="10"/>
      <c r="R578" s="18"/>
      <c r="S578" s="10"/>
      <c r="T578" s="10"/>
      <c r="U578" s="13"/>
      <c r="V578" s="13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3"/>
      <c r="AL578" s="14"/>
      <c r="AM578" s="15"/>
      <c r="AN578" s="15"/>
      <c r="AO578" s="13"/>
      <c r="AP578" s="13"/>
      <c r="AQ578" s="16"/>
      <c r="AR578" s="10"/>
      <c r="AS578" s="10"/>
      <c r="AT578" s="10"/>
      <c r="AU578" s="10"/>
      <c r="AV578" s="11"/>
      <c r="AW578" s="11"/>
      <c r="AX578" s="10"/>
      <c r="AY578" s="11"/>
      <c r="AZ578" s="11"/>
      <c r="BA578" s="11"/>
      <c r="BB578" s="10"/>
      <c r="BC578" s="11"/>
      <c r="BD578" s="11"/>
      <c r="BE578" s="11"/>
      <c r="BF578" s="11"/>
      <c r="BG578" s="11"/>
      <c r="BH578" s="11"/>
      <c r="BI578" s="11"/>
      <c r="BJ578" s="11"/>
      <c r="BK578" s="11"/>
      <c r="BL578" s="11"/>
      <c r="BM578" s="11"/>
      <c r="BN578" s="11"/>
      <c r="BO578" s="11"/>
      <c r="BP578" s="11"/>
      <c r="BQ578" s="11"/>
      <c r="BR578" s="11"/>
      <c r="BS578" s="11"/>
      <c r="BT578" s="11"/>
      <c r="BU578" s="11"/>
      <c r="BV578" s="11"/>
      <c r="BW578" s="11"/>
      <c r="BX578" s="11"/>
      <c r="BY578" s="11"/>
      <c r="BZ578" s="11"/>
      <c r="CA578" s="11"/>
      <c r="CB578" s="11"/>
      <c r="CC578" s="17"/>
      <c r="CD578" s="17"/>
      <c r="CE578" s="11"/>
      <c r="CF578" s="13"/>
      <c r="CG578" s="13"/>
      <c r="CH578" s="13"/>
      <c r="CI578" s="13"/>
      <c r="CJ578" s="13"/>
    </row>
    <row r="579" spans="1:88" s="9" customFormat="1" x14ac:dyDescent="0.25">
      <c r="A579" s="10"/>
      <c r="B579" s="10"/>
      <c r="C579" s="10"/>
      <c r="D579" s="10"/>
      <c r="E579" s="11"/>
      <c r="F579" s="10"/>
      <c r="G579" s="10"/>
      <c r="H579" s="10"/>
      <c r="I579" s="10"/>
      <c r="J579" s="10"/>
      <c r="K579" s="12"/>
      <c r="L579" s="10"/>
      <c r="M579" s="10"/>
      <c r="N579" s="13"/>
      <c r="O579" s="10"/>
      <c r="P579" s="10"/>
      <c r="Q579" s="10"/>
      <c r="R579" s="18"/>
      <c r="S579" s="10"/>
      <c r="T579" s="10"/>
      <c r="U579" s="13"/>
      <c r="V579" s="13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3"/>
      <c r="AL579" s="14"/>
      <c r="AM579" s="15"/>
      <c r="AN579" s="15"/>
      <c r="AO579" s="13"/>
      <c r="AP579" s="13"/>
      <c r="AQ579" s="16"/>
      <c r="AR579" s="10"/>
      <c r="AS579" s="10"/>
      <c r="AT579" s="10"/>
      <c r="AU579" s="10"/>
      <c r="AV579" s="11"/>
      <c r="AW579" s="11"/>
      <c r="AX579" s="10"/>
      <c r="AY579" s="11"/>
      <c r="AZ579" s="11"/>
      <c r="BA579" s="11"/>
      <c r="BB579" s="10"/>
      <c r="BC579" s="11"/>
      <c r="BD579" s="11"/>
      <c r="BE579" s="11"/>
      <c r="BF579" s="11"/>
      <c r="BG579" s="11"/>
      <c r="BH579" s="11"/>
      <c r="BI579" s="11"/>
      <c r="BJ579" s="11"/>
      <c r="BK579" s="11"/>
      <c r="BL579" s="11"/>
      <c r="BM579" s="11"/>
      <c r="BN579" s="11"/>
      <c r="BO579" s="11"/>
      <c r="BP579" s="11"/>
      <c r="BQ579" s="11"/>
      <c r="BR579" s="11"/>
      <c r="BS579" s="11"/>
      <c r="BT579" s="11"/>
      <c r="BU579" s="11"/>
      <c r="BV579" s="11"/>
      <c r="BW579" s="11"/>
      <c r="BX579" s="11"/>
      <c r="BY579" s="11"/>
      <c r="BZ579" s="11"/>
      <c r="CA579" s="11"/>
      <c r="CB579" s="11"/>
      <c r="CC579" s="17"/>
      <c r="CD579" s="17"/>
      <c r="CE579" s="11"/>
      <c r="CF579" s="13"/>
      <c r="CG579" s="13"/>
      <c r="CH579" s="13"/>
      <c r="CI579" s="13"/>
      <c r="CJ579" s="13"/>
    </row>
    <row r="580" spans="1:88" s="9" customFormat="1" x14ac:dyDescent="0.25">
      <c r="A580" s="10"/>
      <c r="B580" s="10"/>
      <c r="C580" s="10"/>
      <c r="D580" s="10"/>
      <c r="E580" s="11"/>
      <c r="F580" s="10"/>
      <c r="G580" s="10"/>
      <c r="H580" s="10"/>
      <c r="I580" s="10"/>
      <c r="J580" s="10"/>
      <c r="K580" s="12"/>
      <c r="L580" s="10"/>
      <c r="M580" s="10"/>
      <c r="N580" s="13"/>
      <c r="O580" s="10"/>
      <c r="P580" s="10"/>
      <c r="Q580" s="10"/>
      <c r="R580" s="18"/>
      <c r="S580" s="10"/>
      <c r="T580" s="10"/>
      <c r="U580" s="13"/>
      <c r="V580" s="13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3"/>
      <c r="AL580" s="14"/>
      <c r="AM580" s="15"/>
      <c r="AN580" s="15"/>
      <c r="AO580" s="13"/>
      <c r="AP580" s="13"/>
      <c r="AQ580" s="16"/>
      <c r="AR580" s="10"/>
      <c r="AS580" s="10"/>
      <c r="AT580" s="10"/>
      <c r="AU580" s="10"/>
      <c r="AV580" s="11"/>
      <c r="AW580" s="11"/>
      <c r="AX580" s="10"/>
      <c r="AY580" s="11"/>
      <c r="AZ580" s="11"/>
      <c r="BA580" s="11"/>
      <c r="BB580" s="10"/>
      <c r="BC580" s="11"/>
      <c r="BD580" s="11"/>
      <c r="BE580" s="11"/>
      <c r="BF580" s="11"/>
      <c r="BG580" s="11"/>
      <c r="BH580" s="11"/>
      <c r="BI580" s="11"/>
      <c r="BJ580" s="11"/>
      <c r="BK580" s="11"/>
      <c r="BL580" s="11"/>
      <c r="BM580" s="11"/>
      <c r="BN580" s="11"/>
      <c r="BO580" s="11"/>
      <c r="BP580" s="11"/>
      <c r="BQ580" s="11"/>
      <c r="BR580" s="11"/>
      <c r="BS580" s="11"/>
      <c r="BT580" s="11"/>
      <c r="BU580" s="11"/>
      <c r="BV580" s="11"/>
      <c r="BW580" s="11"/>
      <c r="BX580" s="11"/>
      <c r="BY580" s="11"/>
      <c r="BZ580" s="11"/>
      <c r="CA580" s="11"/>
      <c r="CB580" s="11"/>
      <c r="CC580" s="17"/>
      <c r="CD580" s="17"/>
      <c r="CE580" s="11"/>
      <c r="CF580" s="13"/>
      <c r="CG580" s="13"/>
      <c r="CH580" s="13"/>
      <c r="CI580" s="13"/>
      <c r="CJ580" s="13"/>
    </row>
    <row r="581" spans="1:88" s="9" customFormat="1" x14ac:dyDescent="0.25">
      <c r="A581" s="10"/>
      <c r="B581" s="10"/>
      <c r="C581" s="10"/>
      <c r="D581" s="10"/>
      <c r="E581" s="11"/>
      <c r="F581" s="10"/>
      <c r="G581" s="10"/>
      <c r="H581" s="10"/>
      <c r="I581" s="10"/>
      <c r="J581" s="10"/>
      <c r="K581" s="12"/>
      <c r="L581" s="10"/>
      <c r="M581" s="10"/>
      <c r="N581" s="13"/>
      <c r="O581" s="10"/>
      <c r="P581" s="10"/>
      <c r="Q581" s="10"/>
      <c r="R581" s="18"/>
      <c r="S581" s="10"/>
      <c r="T581" s="10"/>
      <c r="U581" s="13"/>
      <c r="V581" s="13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3"/>
      <c r="AL581" s="14"/>
      <c r="AM581" s="15"/>
      <c r="AN581" s="15"/>
      <c r="AO581" s="13"/>
      <c r="AP581" s="13"/>
      <c r="AQ581" s="16"/>
      <c r="AR581" s="10"/>
      <c r="AS581" s="10"/>
      <c r="AT581" s="10"/>
      <c r="AU581" s="10"/>
      <c r="AV581" s="11"/>
      <c r="AW581" s="11"/>
      <c r="AX581" s="10"/>
      <c r="AY581" s="11"/>
      <c r="AZ581" s="11"/>
      <c r="BA581" s="11"/>
      <c r="BB581" s="10"/>
      <c r="BC581" s="11"/>
      <c r="BD581" s="11"/>
      <c r="BE581" s="11"/>
      <c r="BF581" s="11"/>
      <c r="BG581" s="11"/>
      <c r="BH581" s="11"/>
      <c r="BI581" s="11"/>
      <c r="BJ581" s="11"/>
      <c r="BK581" s="11"/>
      <c r="BL581" s="11"/>
      <c r="BM581" s="11"/>
      <c r="BN581" s="11"/>
      <c r="BO581" s="11"/>
      <c r="BP581" s="11"/>
      <c r="BQ581" s="11"/>
      <c r="BR581" s="11"/>
      <c r="BS581" s="11"/>
      <c r="BT581" s="11"/>
      <c r="BU581" s="11"/>
      <c r="BV581" s="11"/>
      <c r="BW581" s="11"/>
      <c r="BX581" s="11"/>
      <c r="BY581" s="11"/>
      <c r="BZ581" s="11"/>
      <c r="CA581" s="11"/>
      <c r="CB581" s="11"/>
      <c r="CC581" s="17"/>
      <c r="CD581" s="17"/>
      <c r="CE581" s="11"/>
      <c r="CF581" s="13"/>
      <c r="CG581" s="13"/>
      <c r="CH581" s="13"/>
      <c r="CI581" s="13"/>
      <c r="CJ581" s="13"/>
    </row>
    <row r="582" spans="1:88" s="9" customFormat="1" x14ac:dyDescent="0.25">
      <c r="A582" s="10"/>
      <c r="B582" s="10"/>
      <c r="C582" s="10"/>
      <c r="D582" s="10"/>
      <c r="E582" s="11"/>
      <c r="F582" s="10"/>
      <c r="G582" s="10"/>
      <c r="H582" s="10"/>
      <c r="I582" s="10"/>
      <c r="J582" s="10"/>
      <c r="K582" s="12"/>
      <c r="L582" s="10"/>
      <c r="M582" s="10"/>
      <c r="N582" s="13"/>
      <c r="O582" s="10"/>
      <c r="P582" s="10"/>
      <c r="Q582" s="10"/>
      <c r="R582" s="18"/>
      <c r="S582" s="10"/>
      <c r="T582" s="10"/>
      <c r="U582" s="13"/>
      <c r="V582" s="13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3"/>
      <c r="AL582" s="14"/>
      <c r="AM582" s="15"/>
      <c r="AN582" s="15"/>
      <c r="AO582" s="13"/>
      <c r="AP582" s="13"/>
      <c r="AQ582" s="16"/>
      <c r="AR582" s="10"/>
      <c r="AS582" s="10"/>
      <c r="AT582" s="10"/>
      <c r="AU582" s="10"/>
      <c r="AV582" s="11"/>
      <c r="AW582" s="11"/>
      <c r="AX582" s="10"/>
      <c r="AY582" s="11"/>
      <c r="AZ582" s="11"/>
      <c r="BA582" s="11"/>
      <c r="BB582" s="10"/>
      <c r="BC582" s="11"/>
      <c r="BD582" s="11"/>
      <c r="BE582" s="11"/>
      <c r="BF582" s="11"/>
      <c r="BG582" s="11"/>
      <c r="BH582" s="11"/>
      <c r="BI582" s="11"/>
      <c r="BJ582" s="11"/>
      <c r="BK582" s="11"/>
      <c r="BL582" s="11"/>
      <c r="BM582" s="11"/>
      <c r="BN582" s="11"/>
      <c r="BO582" s="11"/>
      <c r="BP582" s="11"/>
      <c r="BQ582" s="11"/>
      <c r="BR582" s="11"/>
      <c r="BS582" s="11"/>
      <c r="BT582" s="11"/>
      <c r="BU582" s="11"/>
      <c r="BV582" s="11"/>
      <c r="BW582" s="11"/>
      <c r="BX582" s="11"/>
      <c r="BY582" s="11"/>
      <c r="BZ582" s="11"/>
      <c r="CA582" s="11"/>
      <c r="CB582" s="11"/>
      <c r="CC582" s="17"/>
      <c r="CD582" s="17"/>
      <c r="CE582" s="11"/>
      <c r="CF582" s="13"/>
      <c r="CG582" s="13"/>
      <c r="CH582" s="13"/>
      <c r="CI582" s="13"/>
      <c r="CJ582" s="13"/>
    </row>
    <row r="583" spans="1:88" s="9" customFormat="1" x14ac:dyDescent="0.25">
      <c r="A583" s="10"/>
      <c r="B583" s="10"/>
      <c r="C583" s="10"/>
      <c r="D583" s="10"/>
      <c r="E583" s="11"/>
      <c r="F583" s="10"/>
      <c r="G583" s="10"/>
      <c r="H583" s="10"/>
      <c r="I583" s="10"/>
      <c r="J583" s="10"/>
      <c r="K583" s="12"/>
      <c r="L583" s="10"/>
      <c r="M583" s="10"/>
      <c r="N583" s="13"/>
      <c r="O583" s="10"/>
      <c r="P583" s="10"/>
      <c r="Q583" s="10"/>
      <c r="R583" s="18"/>
      <c r="S583" s="10"/>
      <c r="T583" s="10"/>
      <c r="U583" s="13"/>
      <c r="V583" s="13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3"/>
      <c r="AL583" s="14"/>
      <c r="AM583" s="15"/>
      <c r="AN583" s="15"/>
      <c r="AO583" s="13"/>
      <c r="AP583" s="13"/>
      <c r="AQ583" s="16"/>
      <c r="AR583" s="10"/>
      <c r="AS583" s="10"/>
      <c r="AT583" s="10"/>
      <c r="AU583" s="10"/>
      <c r="AV583" s="11"/>
      <c r="AW583" s="11"/>
      <c r="AX583" s="10"/>
      <c r="AY583" s="11"/>
      <c r="AZ583" s="11"/>
      <c r="BA583" s="11"/>
      <c r="BB583" s="10"/>
      <c r="BC583" s="11"/>
      <c r="BD583" s="11"/>
      <c r="BE583" s="11"/>
      <c r="BF583" s="11"/>
      <c r="BG583" s="11"/>
      <c r="BH583" s="11"/>
      <c r="BI583" s="11"/>
      <c r="BJ583" s="11"/>
      <c r="BK583" s="11"/>
      <c r="BL583" s="11"/>
      <c r="BM583" s="11"/>
      <c r="BN583" s="11"/>
      <c r="BO583" s="11"/>
      <c r="BP583" s="11"/>
      <c r="BQ583" s="11"/>
      <c r="BR583" s="11"/>
      <c r="BS583" s="11"/>
      <c r="BT583" s="11"/>
      <c r="BU583" s="11"/>
      <c r="BV583" s="11"/>
      <c r="BW583" s="11"/>
      <c r="BX583" s="11"/>
      <c r="BY583" s="11"/>
      <c r="BZ583" s="11"/>
      <c r="CA583" s="11"/>
      <c r="CB583" s="11"/>
      <c r="CC583" s="17"/>
      <c r="CD583" s="17"/>
      <c r="CE583" s="11"/>
      <c r="CF583" s="13"/>
      <c r="CG583" s="13"/>
      <c r="CH583" s="13"/>
      <c r="CI583" s="13"/>
      <c r="CJ583" s="13"/>
    </row>
    <row r="584" spans="1:88" s="9" customFormat="1" x14ac:dyDescent="0.25">
      <c r="A584" s="10"/>
      <c r="B584" s="10"/>
      <c r="C584" s="10"/>
      <c r="D584" s="10"/>
      <c r="E584" s="11"/>
      <c r="F584" s="10"/>
      <c r="G584" s="10"/>
      <c r="H584" s="10"/>
      <c r="I584" s="10"/>
      <c r="J584" s="10"/>
      <c r="K584" s="12"/>
      <c r="L584" s="10"/>
      <c r="M584" s="10"/>
      <c r="N584" s="13"/>
      <c r="O584" s="10"/>
      <c r="P584" s="10"/>
      <c r="Q584" s="10"/>
      <c r="R584" s="18"/>
      <c r="S584" s="10"/>
      <c r="T584" s="10"/>
      <c r="U584" s="13"/>
      <c r="V584" s="13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3"/>
      <c r="AL584" s="14"/>
      <c r="AM584" s="15"/>
      <c r="AN584" s="15"/>
      <c r="AO584" s="13"/>
      <c r="AP584" s="13"/>
      <c r="AQ584" s="16"/>
      <c r="AR584" s="10"/>
      <c r="AS584" s="10"/>
      <c r="AT584" s="10"/>
      <c r="AU584" s="10"/>
      <c r="AV584" s="11"/>
      <c r="AW584" s="11"/>
      <c r="AX584" s="10"/>
      <c r="AY584" s="11"/>
      <c r="AZ584" s="11"/>
      <c r="BA584" s="11"/>
      <c r="BB584" s="10"/>
      <c r="BC584" s="11"/>
      <c r="BD584" s="11"/>
      <c r="BE584" s="11"/>
      <c r="BF584" s="11"/>
      <c r="BG584" s="11"/>
      <c r="BH584" s="11"/>
      <c r="BI584" s="11"/>
      <c r="BJ584" s="11"/>
      <c r="BK584" s="11"/>
      <c r="BL584" s="11"/>
      <c r="BM584" s="11"/>
      <c r="BN584" s="11"/>
      <c r="BO584" s="11"/>
      <c r="BP584" s="11"/>
      <c r="BQ584" s="11"/>
      <c r="BR584" s="11"/>
      <c r="BS584" s="11"/>
      <c r="BT584" s="11"/>
      <c r="BU584" s="11"/>
      <c r="BV584" s="11"/>
      <c r="BW584" s="11"/>
      <c r="BX584" s="11"/>
      <c r="BY584" s="11"/>
      <c r="BZ584" s="11"/>
      <c r="CA584" s="11"/>
      <c r="CB584" s="11"/>
      <c r="CC584" s="17"/>
      <c r="CD584" s="17"/>
      <c r="CE584" s="11"/>
      <c r="CF584" s="13"/>
      <c r="CG584" s="13"/>
      <c r="CH584" s="13"/>
      <c r="CI584" s="13"/>
      <c r="CJ584" s="13"/>
    </row>
    <row r="585" spans="1:88" s="9" customFormat="1" x14ac:dyDescent="0.25">
      <c r="A585" s="10"/>
      <c r="B585" s="10"/>
      <c r="C585" s="10"/>
      <c r="D585" s="10"/>
      <c r="E585" s="11"/>
      <c r="F585" s="10"/>
      <c r="G585" s="10"/>
      <c r="H585" s="10"/>
      <c r="I585" s="10"/>
      <c r="J585" s="10"/>
      <c r="K585" s="12"/>
      <c r="L585" s="10"/>
      <c r="M585" s="10"/>
      <c r="N585" s="13"/>
      <c r="O585" s="10"/>
      <c r="P585" s="10"/>
      <c r="Q585" s="10"/>
      <c r="R585" s="18"/>
      <c r="S585" s="10"/>
      <c r="T585" s="10"/>
      <c r="U585" s="13"/>
      <c r="V585" s="13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3"/>
      <c r="AL585" s="14"/>
      <c r="AM585" s="15"/>
      <c r="AN585" s="15"/>
      <c r="AO585" s="13"/>
      <c r="AP585" s="13"/>
      <c r="AQ585" s="16"/>
      <c r="AR585" s="10"/>
      <c r="AS585" s="10"/>
      <c r="AT585" s="10"/>
      <c r="AU585" s="10"/>
      <c r="AV585" s="11"/>
      <c r="AW585" s="11"/>
      <c r="AX585" s="10"/>
      <c r="AY585" s="11"/>
      <c r="AZ585" s="11"/>
      <c r="BA585" s="11"/>
      <c r="BB585" s="10"/>
      <c r="BC585" s="11"/>
      <c r="BD585" s="11"/>
      <c r="BE585" s="11"/>
      <c r="BF585" s="11"/>
      <c r="BG585" s="11"/>
      <c r="BH585" s="11"/>
      <c r="BI585" s="11"/>
      <c r="BJ585" s="11"/>
      <c r="BK585" s="11"/>
      <c r="BL585" s="11"/>
      <c r="BM585" s="11"/>
      <c r="BN585" s="11"/>
      <c r="BO585" s="11"/>
      <c r="BP585" s="11"/>
      <c r="BQ585" s="11"/>
      <c r="BR585" s="11"/>
      <c r="BS585" s="11"/>
      <c r="BT585" s="11"/>
      <c r="BU585" s="11"/>
      <c r="BV585" s="11"/>
      <c r="BW585" s="11"/>
      <c r="BX585" s="11"/>
      <c r="BY585" s="11"/>
      <c r="BZ585" s="11"/>
      <c r="CA585" s="11"/>
      <c r="CB585" s="11"/>
      <c r="CC585" s="17"/>
      <c r="CD585" s="17"/>
      <c r="CE585" s="11"/>
      <c r="CF585" s="13"/>
      <c r="CG585" s="13"/>
      <c r="CH585" s="13"/>
      <c r="CI585" s="13"/>
      <c r="CJ585" s="13"/>
    </row>
    <row r="586" spans="1:88" s="9" customFormat="1" x14ac:dyDescent="0.25">
      <c r="A586" s="10"/>
      <c r="B586" s="10"/>
      <c r="C586" s="10"/>
      <c r="D586" s="10"/>
      <c r="E586" s="11"/>
      <c r="F586" s="10"/>
      <c r="G586" s="10"/>
      <c r="H586" s="10"/>
      <c r="I586" s="10"/>
      <c r="J586" s="10"/>
      <c r="K586" s="12"/>
      <c r="L586" s="10"/>
      <c r="M586" s="10"/>
      <c r="N586" s="13"/>
      <c r="O586" s="10"/>
      <c r="P586" s="10"/>
      <c r="Q586" s="10"/>
      <c r="R586" s="18"/>
      <c r="S586" s="10"/>
      <c r="T586" s="10"/>
      <c r="U586" s="13"/>
      <c r="V586" s="13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3"/>
      <c r="AL586" s="14"/>
      <c r="AM586" s="15"/>
      <c r="AN586" s="15"/>
      <c r="AO586" s="13"/>
      <c r="AP586" s="13"/>
      <c r="AQ586" s="16"/>
      <c r="AR586" s="10"/>
      <c r="AS586" s="10"/>
      <c r="AT586" s="10"/>
      <c r="AU586" s="10"/>
      <c r="AV586" s="11"/>
      <c r="AW586" s="11"/>
      <c r="AX586" s="10"/>
      <c r="AY586" s="11"/>
      <c r="AZ586" s="11"/>
      <c r="BA586" s="11"/>
      <c r="BB586" s="10"/>
      <c r="BC586" s="11"/>
      <c r="BD586" s="11"/>
      <c r="BE586" s="11"/>
      <c r="BF586" s="11"/>
      <c r="BG586" s="11"/>
      <c r="BH586" s="11"/>
      <c r="BI586" s="11"/>
      <c r="BJ586" s="11"/>
      <c r="BK586" s="11"/>
      <c r="BL586" s="11"/>
      <c r="BM586" s="11"/>
      <c r="BN586" s="11"/>
      <c r="BO586" s="11"/>
      <c r="BP586" s="11"/>
      <c r="BQ586" s="11"/>
      <c r="BR586" s="11"/>
      <c r="BS586" s="11"/>
      <c r="BT586" s="11"/>
      <c r="BU586" s="11"/>
      <c r="BV586" s="11"/>
      <c r="BW586" s="11"/>
      <c r="BX586" s="11"/>
      <c r="BY586" s="11"/>
      <c r="BZ586" s="11"/>
      <c r="CA586" s="11"/>
      <c r="CB586" s="11"/>
      <c r="CC586" s="17"/>
      <c r="CD586" s="17"/>
      <c r="CE586" s="11"/>
      <c r="CF586" s="13"/>
      <c r="CG586" s="13"/>
      <c r="CH586" s="13"/>
      <c r="CI586" s="13"/>
      <c r="CJ586" s="13"/>
    </row>
    <row r="587" spans="1:88" s="9" customFormat="1" x14ac:dyDescent="0.25">
      <c r="A587" s="10"/>
      <c r="B587" s="10"/>
      <c r="C587" s="10"/>
      <c r="D587" s="10"/>
      <c r="E587" s="11"/>
      <c r="F587" s="10"/>
      <c r="G587" s="10"/>
      <c r="H587" s="10"/>
      <c r="I587" s="10"/>
      <c r="J587" s="10"/>
      <c r="K587" s="12"/>
      <c r="L587" s="10"/>
      <c r="M587" s="10"/>
      <c r="N587" s="13"/>
      <c r="O587" s="10"/>
      <c r="P587" s="10"/>
      <c r="Q587" s="10"/>
      <c r="R587" s="18"/>
      <c r="S587" s="10"/>
      <c r="T587" s="10"/>
      <c r="U587" s="13"/>
      <c r="V587" s="13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3"/>
      <c r="AL587" s="14"/>
      <c r="AM587" s="15"/>
      <c r="AN587" s="15"/>
      <c r="AO587" s="13"/>
      <c r="AP587" s="13"/>
      <c r="AQ587" s="16"/>
      <c r="AR587" s="10"/>
      <c r="AS587" s="10"/>
      <c r="AT587" s="10"/>
      <c r="AU587" s="10"/>
      <c r="AV587" s="11"/>
      <c r="AW587" s="11"/>
      <c r="AX587" s="10"/>
      <c r="AY587" s="11"/>
      <c r="AZ587" s="11"/>
      <c r="BA587" s="11"/>
      <c r="BB587" s="10"/>
      <c r="BC587" s="11"/>
      <c r="BD587" s="11"/>
      <c r="BE587" s="11"/>
      <c r="BF587" s="11"/>
      <c r="BG587" s="11"/>
      <c r="BH587" s="11"/>
      <c r="BI587" s="11"/>
      <c r="BJ587" s="11"/>
      <c r="BK587" s="11"/>
      <c r="BL587" s="11"/>
      <c r="BM587" s="11"/>
      <c r="BN587" s="11"/>
      <c r="BO587" s="11"/>
      <c r="BP587" s="11"/>
      <c r="BQ587" s="11"/>
      <c r="BR587" s="11"/>
      <c r="BS587" s="11"/>
      <c r="BT587" s="11"/>
      <c r="BU587" s="11"/>
      <c r="BV587" s="11"/>
      <c r="BW587" s="11"/>
      <c r="BX587" s="11"/>
      <c r="BY587" s="11"/>
      <c r="BZ587" s="11"/>
      <c r="CA587" s="11"/>
      <c r="CB587" s="11"/>
      <c r="CC587" s="17"/>
      <c r="CD587" s="17"/>
      <c r="CE587" s="11"/>
      <c r="CF587" s="13"/>
      <c r="CG587" s="13"/>
      <c r="CH587" s="13"/>
      <c r="CI587" s="13"/>
      <c r="CJ587" s="13"/>
    </row>
    <row r="588" spans="1:88" s="9" customFormat="1" x14ac:dyDescent="0.25">
      <c r="A588" s="10"/>
      <c r="B588" s="10"/>
      <c r="C588" s="10"/>
      <c r="D588" s="10"/>
      <c r="E588" s="11"/>
      <c r="F588" s="10"/>
      <c r="G588" s="10"/>
      <c r="H588" s="10"/>
      <c r="I588" s="10"/>
      <c r="J588" s="10"/>
      <c r="K588" s="12"/>
      <c r="L588" s="10"/>
      <c r="M588" s="10"/>
      <c r="N588" s="13"/>
      <c r="O588" s="10"/>
      <c r="P588" s="10"/>
      <c r="Q588" s="10"/>
      <c r="R588" s="18"/>
      <c r="S588" s="10"/>
      <c r="T588" s="10"/>
      <c r="U588" s="13"/>
      <c r="V588" s="13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3"/>
      <c r="AL588" s="14"/>
      <c r="AM588" s="15"/>
      <c r="AN588" s="15"/>
      <c r="AO588" s="13"/>
      <c r="AP588" s="13"/>
      <c r="AQ588" s="16"/>
      <c r="AR588" s="10"/>
      <c r="AS588" s="10"/>
      <c r="AT588" s="10"/>
      <c r="AU588" s="10"/>
      <c r="AV588" s="11"/>
      <c r="AW588" s="11"/>
      <c r="AX588" s="10"/>
      <c r="AY588" s="11"/>
      <c r="AZ588" s="11"/>
      <c r="BA588" s="11"/>
      <c r="BB588" s="10"/>
      <c r="BC588" s="11"/>
      <c r="BD588" s="11"/>
      <c r="BE588" s="11"/>
      <c r="BF588" s="11"/>
      <c r="BG588" s="11"/>
      <c r="BH588" s="11"/>
      <c r="BI588" s="11"/>
      <c r="BJ588" s="11"/>
      <c r="BK588" s="11"/>
      <c r="BL588" s="11"/>
      <c r="BM588" s="11"/>
      <c r="BN588" s="11"/>
      <c r="BO588" s="11"/>
      <c r="BP588" s="11"/>
      <c r="BQ588" s="11"/>
      <c r="BR588" s="11"/>
      <c r="BS588" s="11"/>
      <c r="BT588" s="11"/>
      <c r="BU588" s="11"/>
      <c r="BV588" s="11"/>
      <c r="BW588" s="11"/>
      <c r="BX588" s="11"/>
      <c r="BY588" s="11"/>
      <c r="BZ588" s="11"/>
      <c r="CA588" s="11"/>
      <c r="CB588" s="11"/>
      <c r="CC588" s="17"/>
      <c r="CD588" s="17"/>
      <c r="CE588" s="11"/>
      <c r="CF588" s="13"/>
      <c r="CG588" s="13"/>
      <c r="CH588" s="13"/>
      <c r="CI588" s="13"/>
      <c r="CJ588" s="13"/>
    </row>
    <row r="589" spans="1:88" s="9" customFormat="1" x14ac:dyDescent="0.25">
      <c r="A589" s="10"/>
      <c r="B589" s="10"/>
      <c r="C589" s="10"/>
      <c r="D589" s="10"/>
      <c r="E589" s="11"/>
      <c r="F589" s="10"/>
      <c r="G589" s="10"/>
      <c r="H589" s="10"/>
      <c r="I589" s="10"/>
      <c r="J589" s="10"/>
      <c r="K589" s="12"/>
      <c r="L589" s="10"/>
      <c r="M589" s="10"/>
      <c r="N589" s="13"/>
      <c r="O589" s="10"/>
      <c r="P589" s="10"/>
      <c r="Q589" s="10"/>
      <c r="R589" s="18"/>
      <c r="S589" s="10"/>
      <c r="T589" s="10"/>
      <c r="U589" s="13"/>
      <c r="V589" s="13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3"/>
      <c r="AL589" s="14"/>
      <c r="AM589" s="15"/>
      <c r="AN589" s="15"/>
      <c r="AO589" s="13"/>
      <c r="AP589" s="13"/>
      <c r="AQ589" s="16"/>
      <c r="AR589" s="10"/>
      <c r="AS589" s="10"/>
      <c r="AT589" s="10"/>
      <c r="AU589" s="10"/>
      <c r="AV589" s="11"/>
      <c r="AW589" s="11"/>
      <c r="AX589" s="10"/>
      <c r="AY589" s="11"/>
      <c r="AZ589" s="11"/>
      <c r="BA589" s="11"/>
      <c r="BB589" s="10"/>
      <c r="BC589" s="11"/>
      <c r="BD589" s="11"/>
      <c r="BE589" s="11"/>
      <c r="BF589" s="11"/>
      <c r="BG589" s="11"/>
      <c r="BH589" s="11"/>
      <c r="BI589" s="11"/>
      <c r="BJ589" s="11"/>
      <c r="BK589" s="11"/>
      <c r="BL589" s="11"/>
      <c r="BM589" s="11"/>
      <c r="BN589" s="11"/>
      <c r="BO589" s="11"/>
      <c r="BP589" s="11"/>
      <c r="BQ589" s="11"/>
      <c r="BR589" s="11"/>
      <c r="BS589" s="11"/>
      <c r="BT589" s="11"/>
      <c r="BU589" s="11"/>
      <c r="BV589" s="11"/>
      <c r="BW589" s="11"/>
      <c r="BX589" s="11"/>
      <c r="BY589" s="11"/>
      <c r="BZ589" s="11"/>
      <c r="CA589" s="11"/>
      <c r="CB589" s="11"/>
      <c r="CC589" s="17"/>
      <c r="CD589" s="17"/>
      <c r="CE589" s="11"/>
      <c r="CF589" s="13"/>
      <c r="CG589" s="13"/>
      <c r="CH589" s="13"/>
      <c r="CI589" s="13"/>
      <c r="CJ589" s="13"/>
    </row>
    <row r="590" spans="1:88" s="9" customFormat="1" x14ac:dyDescent="0.25">
      <c r="A590" s="10"/>
      <c r="B590" s="10"/>
      <c r="C590" s="10"/>
      <c r="D590" s="10"/>
      <c r="E590" s="11"/>
      <c r="F590" s="10"/>
      <c r="G590" s="10"/>
      <c r="H590" s="10"/>
      <c r="I590" s="10"/>
      <c r="J590" s="10"/>
      <c r="K590" s="12"/>
      <c r="L590" s="10"/>
      <c r="M590" s="10"/>
      <c r="N590" s="13"/>
      <c r="O590" s="10"/>
      <c r="P590" s="10"/>
      <c r="Q590" s="10"/>
      <c r="R590" s="18"/>
      <c r="S590" s="10"/>
      <c r="T590" s="10"/>
      <c r="U590" s="13"/>
      <c r="V590" s="13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3"/>
      <c r="AL590" s="14"/>
      <c r="AM590" s="15"/>
      <c r="AN590" s="15"/>
      <c r="AO590" s="13"/>
      <c r="AP590" s="13"/>
      <c r="AQ590" s="16"/>
      <c r="AR590" s="10"/>
      <c r="AS590" s="10"/>
      <c r="AT590" s="10"/>
      <c r="AU590" s="10"/>
      <c r="AV590" s="11"/>
      <c r="AW590" s="11"/>
      <c r="AX590" s="10"/>
      <c r="AY590" s="11"/>
      <c r="AZ590" s="11"/>
      <c r="BA590" s="11"/>
      <c r="BB590" s="10"/>
      <c r="BC590" s="11"/>
      <c r="BD590" s="11"/>
      <c r="BE590" s="11"/>
      <c r="BF590" s="11"/>
      <c r="BG590" s="11"/>
      <c r="BH590" s="11"/>
      <c r="BI590" s="11"/>
      <c r="BJ590" s="11"/>
      <c r="BK590" s="11"/>
      <c r="BL590" s="11"/>
      <c r="BM590" s="11"/>
      <c r="BN590" s="11"/>
      <c r="BO590" s="11"/>
      <c r="BP590" s="11"/>
      <c r="BQ590" s="11"/>
      <c r="BR590" s="11"/>
      <c r="BS590" s="11"/>
      <c r="BT590" s="11"/>
      <c r="BU590" s="11"/>
      <c r="BV590" s="11"/>
      <c r="BW590" s="11"/>
      <c r="BX590" s="11"/>
      <c r="BY590" s="11"/>
      <c r="BZ590" s="11"/>
      <c r="CA590" s="11"/>
      <c r="CB590" s="11"/>
      <c r="CC590" s="17"/>
      <c r="CD590" s="17"/>
      <c r="CE590" s="11"/>
      <c r="CF590" s="13"/>
      <c r="CG590" s="13"/>
      <c r="CH590" s="13"/>
      <c r="CI590" s="13"/>
      <c r="CJ590" s="13"/>
    </row>
    <row r="591" spans="1:88" s="9" customFormat="1" x14ac:dyDescent="0.25">
      <c r="A591" s="10"/>
      <c r="B591" s="10"/>
      <c r="C591" s="10"/>
      <c r="D591" s="10"/>
      <c r="E591" s="11"/>
      <c r="F591" s="10"/>
      <c r="G591" s="10"/>
      <c r="H591" s="10"/>
      <c r="I591" s="10"/>
      <c r="J591" s="10"/>
      <c r="K591" s="12"/>
      <c r="L591" s="10"/>
      <c r="M591" s="10"/>
      <c r="N591" s="13"/>
      <c r="O591" s="10"/>
      <c r="P591" s="10"/>
      <c r="Q591" s="10"/>
      <c r="R591" s="18"/>
      <c r="S591" s="10"/>
      <c r="T591" s="10"/>
      <c r="U591" s="13"/>
      <c r="V591" s="13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3"/>
      <c r="AL591" s="14"/>
      <c r="AM591" s="15"/>
      <c r="AN591" s="15"/>
      <c r="AO591" s="13"/>
      <c r="AP591" s="13"/>
      <c r="AQ591" s="16"/>
      <c r="AR591" s="10"/>
      <c r="AS591" s="10"/>
      <c r="AT591" s="10"/>
      <c r="AU591" s="10"/>
      <c r="AV591" s="11"/>
      <c r="AW591" s="11"/>
      <c r="AX591" s="10"/>
      <c r="AY591" s="11"/>
      <c r="AZ591" s="11"/>
      <c r="BA591" s="11"/>
      <c r="BB591" s="10"/>
      <c r="BC591" s="11"/>
      <c r="BD591" s="11"/>
      <c r="BE591" s="11"/>
      <c r="BF591" s="11"/>
      <c r="BG591" s="11"/>
      <c r="BH591" s="11"/>
      <c r="BI591" s="11"/>
      <c r="BJ591" s="11"/>
      <c r="BK591" s="11"/>
      <c r="BL591" s="11"/>
      <c r="BM591" s="11"/>
      <c r="BN591" s="11"/>
      <c r="BO591" s="11"/>
      <c r="BP591" s="11"/>
      <c r="BQ591" s="11"/>
      <c r="BR591" s="11"/>
      <c r="BS591" s="11"/>
      <c r="BT591" s="11"/>
      <c r="BU591" s="11"/>
      <c r="BV591" s="11"/>
      <c r="BW591" s="11"/>
      <c r="BX591" s="11"/>
      <c r="BY591" s="11"/>
      <c r="BZ591" s="11"/>
      <c r="CA591" s="11"/>
      <c r="CB591" s="11"/>
      <c r="CC591" s="17"/>
      <c r="CD591" s="17"/>
      <c r="CE591" s="11"/>
      <c r="CF591" s="13"/>
      <c r="CG591" s="13"/>
      <c r="CH591" s="13"/>
      <c r="CI591" s="13"/>
      <c r="CJ591" s="13"/>
    </row>
    <row r="592" spans="1:88" s="9" customFormat="1" x14ac:dyDescent="0.25">
      <c r="A592" s="10"/>
      <c r="B592" s="10"/>
      <c r="C592" s="10"/>
      <c r="D592" s="10"/>
      <c r="E592" s="11"/>
      <c r="F592" s="10"/>
      <c r="G592" s="10"/>
      <c r="H592" s="10"/>
      <c r="I592" s="10"/>
      <c r="J592" s="10"/>
      <c r="K592" s="12"/>
      <c r="L592" s="10"/>
      <c r="M592" s="10"/>
      <c r="N592" s="13"/>
      <c r="O592" s="10"/>
      <c r="P592" s="10"/>
      <c r="Q592" s="10"/>
      <c r="R592" s="18"/>
      <c r="S592" s="10"/>
      <c r="T592" s="10"/>
      <c r="U592" s="13"/>
      <c r="V592" s="13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3"/>
      <c r="AL592" s="14"/>
      <c r="AM592" s="15"/>
      <c r="AN592" s="15"/>
      <c r="AO592" s="13"/>
      <c r="AP592" s="13"/>
      <c r="AQ592" s="16"/>
      <c r="AR592" s="10"/>
      <c r="AS592" s="10"/>
      <c r="AT592" s="10"/>
      <c r="AU592" s="10"/>
      <c r="AV592" s="11"/>
      <c r="AW592" s="11"/>
      <c r="AX592" s="10"/>
      <c r="AY592" s="11"/>
      <c r="AZ592" s="11"/>
      <c r="BA592" s="11"/>
      <c r="BB592" s="10"/>
      <c r="BC592" s="11"/>
      <c r="BD592" s="11"/>
      <c r="BE592" s="11"/>
      <c r="BF592" s="11"/>
      <c r="BG592" s="11"/>
      <c r="BH592" s="11"/>
      <c r="BI592" s="11"/>
      <c r="BJ592" s="11"/>
      <c r="BK592" s="11"/>
      <c r="BL592" s="11"/>
      <c r="BM592" s="11"/>
      <c r="BN592" s="11"/>
      <c r="BO592" s="11"/>
      <c r="BP592" s="11"/>
      <c r="BQ592" s="11"/>
      <c r="BR592" s="11"/>
      <c r="BS592" s="11"/>
      <c r="BT592" s="11"/>
      <c r="BU592" s="11"/>
      <c r="BV592" s="11"/>
      <c r="BW592" s="11"/>
      <c r="BX592" s="11"/>
      <c r="BY592" s="11"/>
      <c r="BZ592" s="11"/>
      <c r="CA592" s="11"/>
      <c r="CB592" s="11"/>
      <c r="CC592" s="17"/>
      <c r="CD592" s="17"/>
      <c r="CE592" s="11"/>
      <c r="CF592" s="13"/>
      <c r="CG592" s="13"/>
      <c r="CH592" s="13"/>
      <c r="CI592" s="13"/>
      <c r="CJ592" s="13"/>
    </row>
    <row r="593" spans="1:88" s="9" customFormat="1" x14ac:dyDescent="0.25">
      <c r="A593" s="10"/>
      <c r="B593" s="10"/>
      <c r="C593" s="10"/>
      <c r="D593" s="10"/>
      <c r="E593" s="11"/>
      <c r="F593" s="10"/>
      <c r="G593" s="10"/>
      <c r="H593" s="10"/>
      <c r="I593" s="10"/>
      <c r="J593" s="10"/>
      <c r="K593" s="12"/>
      <c r="L593" s="10"/>
      <c r="M593" s="10"/>
      <c r="N593" s="13"/>
      <c r="O593" s="10"/>
      <c r="P593" s="10"/>
      <c r="Q593" s="10"/>
      <c r="R593" s="18"/>
      <c r="S593" s="10"/>
      <c r="T593" s="10"/>
      <c r="U593" s="13"/>
      <c r="V593" s="13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3"/>
      <c r="AL593" s="14"/>
      <c r="AM593" s="15"/>
      <c r="AN593" s="15"/>
      <c r="AO593" s="13"/>
      <c r="AP593" s="13"/>
      <c r="AQ593" s="16"/>
      <c r="AR593" s="10"/>
      <c r="AS593" s="10"/>
      <c r="AT593" s="10"/>
      <c r="AU593" s="10"/>
      <c r="AV593" s="11"/>
      <c r="AW593" s="11"/>
      <c r="AX593" s="10"/>
      <c r="AY593" s="11"/>
      <c r="AZ593" s="11"/>
      <c r="BA593" s="11"/>
      <c r="BB593" s="10"/>
      <c r="BC593" s="11"/>
      <c r="BD593" s="11"/>
      <c r="BE593" s="11"/>
      <c r="BF593" s="11"/>
      <c r="BG593" s="11"/>
      <c r="BH593" s="11"/>
      <c r="BI593" s="11"/>
      <c r="BJ593" s="11"/>
      <c r="BK593" s="11"/>
      <c r="BL593" s="11"/>
      <c r="BM593" s="11"/>
      <c r="BN593" s="11"/>
      <c r="BO593" s="11"/>
      <c r="BP593" s="11"/>
      <c r="BQ593" s="11"/>
      <c r="BR593" s="11"/>
      <c r="BS593" s="11"/>
      <c r="BT593" s="11"/>
      <c r="BU593" s="11"/>
      <c r="BV593" s="11"/>
      <c r="BW593" s="11"/>
      <c r="BX593" s="11"/>
      <c r="BY593" s="11"/>
      <c r="BZ593" s="11"/>
      <c r="CA593" s="11"/>
      <c r="CB593" s="11"/>
      <c r="CC593" s="17"/>
      <c r="CD593" s="17"/>
      <c r="CE593" s="11"/>
      <c r="CF593" s="13"/>
      <c r="CG593" s="13"/>
      <c r="CH593" s="13"/>
      <c r="CI593" s="13"/>
      <c r="CJ593" s="13"/>
    </row>
    <row r="594" spans="1:88" s="9" customFormat="1" x14ac:dyDescent="0.25">
      <c r="A594" s="10"/>
      <c r="B594" s="10"/>
      <c r="C594" s="10"/>
      <c r="D594" s="10"/>
      <c r="E594" s="11"/>
      <c r="F594" s="10"/>
      <c r="G594" s="10"/>
      <c r="H594" s="10"/>
      <c r="I594" s="10"/>
      <c r="J594" s="10"/>
      <c r="K594" s="12"/>
      <c r="L594" s="10"/>
      <c r="M594" s="10"/>
      <c r="N594" s="13"/>
      <c r="O594" s="10"/>
      <c r="P594" s="10"/>
      <c r="Q594" s="10"/>
      <c r="R594" s="18"/>
      <c r="S594" s="10"/>
      <c r="T594" s="10"/>
      <c r="U594" s="13"/>
      <c r="V594" s="13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3"/>
      <c r="AL594" s="14"/>
      <c r="AM594" s="15"/>
      <c r="AN594" s="15"/>
      <c r="AO594" s="13"/>
      <c r="AP594" s="13"/>
      <c r="AQ594" s="16"/>
      <c r="AR594" s="10"/>
      <c r="AS594" s="10"/>
      <c r="AT594" s="10"/>
      <c r="AU594" s="10"/>
      <c r="AV594" s="11"/>
      <c r="AW594" s="11"/>
      <c r="AX594" s="10"/>
      <c r="AY594" s="11"/>
      <c r="AZ594" s="11"/>
      <c r="BA594" s="11"/>
      <c r="BB594" s="10"/>
      <c r="BC594" s="11"/>
      <c r="BD594" s="11"/>
      <c r="BE594" s="11"/>
      <c r="BF594" s="11"/>
      <c r="BG594" s="11"/>
      <c r="BH594" s="11"/>
      <c r="BI594" s="11"/>
      <c r="BJ594" s="11"/>
      <c r="BK594" s="11"/>
      <c r="BL594" s="11"/>
      <c r="BM594" s="11"/>
      <c r="BN594" s="11"/>
      <c r="BO594" s="11"/>
      <c r="BP594" s="11"/>
      <c r="BQ594" s="11"/>
      <c r="BR594" s="11"/>
      <c r="BS594" s="11"/>
      <c r="BT594" s="11"/>
      <c r="BU594" s="11"/>
      <c r="BV594" s="11"/>
      <c r="BW594" s="11"/>
      <c r="BX594" s="11"/>
      <c r="BY594" s="11"/>
      <c r="BZ594" s="11"/>
      <c r="CA594" s="11"/>
      <c r="CB594" s="11"/>
      <c r="CC594" s="17"/>
      <c r="CD594" s="17"/>
      <c r="CE594" s="11"/>
      <c r="CF594" s="13"/>
      <c r="CG594" s="13"/>
      <c r="CH594" s="13"/>
      <c r="CI594" s="13"/>
      <c r="CJ594" s="13"/>
    </row>
    <row r="595" spans="1:88" s="9" customFormat="1" x14ac:dyDescent="0.25">
      <c r="A595" s="10"/>
      <c r="B595" s="10"/>
      <c r="C595" s="10"/>
      <c r="D595" s="10"/>
      <c r="E595" s="11"/>
      <c r="F595" s="10"/>
      <c r="G595" s="10"/>
      <c r="H595" s="10"/>
      <c r="I595" s="10"/>
      <c r="J595" s="10"/>
      <c r="K595" s="12"/>
      <c r="L595" s="10"/>
      <c r="M595" s="10"/>
      <c r="N595" s="13"/>
      <c r="O595" s="10"/>
      <c r="P595" s="10"/>
      <c r="Q595" s="10"/>
      <c r="R595" s="18"/>
      <c r="S595" s="10"/>
      <c r="T595" s="10"/>
      <c r="U595" s="13"/>
      <c r="V595" s="13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3"/>
      <c r="AL595" s="14"/>
      <c r="AM595" s="15"/>
      <c r="AN595" s="15"/>
      <c r="AO595" s="13"/>
      <c r="AP595" s="13"/>
      <c r="AQ595" s="16"/>
      <c r="AR595" s="10"/>
      <c r="AS595" s="10"/>
      <c r="AT595" s="10"/>
      <c r="AU595" s="10"/>
      <c r="AV595" s="11"/>
      <c r="AW595" s="11"/>
      <c r="AX595" s="10"/>
      <c r="AY595" s="11"/>
      <c r="AZ595" s="11"/>
      <c r="BA595" s="11"/>
      <c r="BB595" s="10"/>
      <c r="BC595" s="11"/>
      <c r="BD595" s="11"/>
      <c r="BE595" s="11"/>
      <c r="BF595" s="11"/>
      <c r="BG595" s="11"/>
      <c r="BH595" s="11"/>
      <c r="BI595" s="11"/>
      <c r="BJ595" s="11"/>
      <c r="BK595" s="11"/>
      <c r="BL595" s="11"/>
      <c r="BM595" s="11"/>
      <c r="BN595" s="11"/>
      <c r="BO595" s="11"/>
      <c r="BP595" s="11"/>
      <c r="BQ595" s="11"/>
      <c r="BR595" s="11"/>
      <c r="BS595" s="11"/>
      <c r="BT595" s="11"/>
      <c r="BU595" s="11"/>
      <c r="BV595" s="11"/>
      <c r="BW595" s="11"/>
      <c r="BX595" s="11"/>
      <c r="BY595" s="11"/>
      <c r="BZ595" s="11"/>
      <c r="CA595" s="11"/>
      <c r="CB595" s="11"/>
      <c r="CC595" s="17"/>
      <c r="CD595" s="17"/>
      <c r="CE595" s="11"/>
      <c r="CF595" s="13"/>
      <c r="CG595" s="13"/>
      <c r="CH595" s="13"/>
      <c r="CI595" s="13"/>
      <c r="CJ595" s="13"/>
    </row>
    <row r="596" spans="1:88" s="9" customFormat="1" x14ac:dyDescent="0.25">
      <c r="A596" s="10"/>
      <c r="B596" s="10"/>
      <c r="C596" s="10"/>
      <c r="D596" s="10"/>
      <c r="E596" s="11"/>
      <c r="F596" s="10"/>
      <c r="G596" s="10"/>
      <c r="H596" s="10"/>
      <c r="I596" s="10"/>
      <c r="J596" s="10"/>
      <c r="K596" s="12"/>
      <c r="L596" s="10"/>
      <c r="M596" s="10"/>
      <c r="N596" s="13"/>
      <c r="O596" s="10"/>
      <c r="P596" s="10"/>
      <c r="Q596" s="10"/>
      <c r="R596" s="18"/>
      <c r="S596" s="10"/>
      <c r="T596" s="10"/>
      <c r="U596" s="13"/>
      <c r="V596" s="13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3"/>
      <c r="AL596" s="14"/>
      <c r="AM596" s="15"/>
      <c r="AN596" s="15"/>
      <c r="AO596" s="13"/>
      <c r="AP596" s="13"/>
      <c r="AQ596" s="16"/>
      <c r="AR596" s="10"/>
      <c r="AS596" s="10"/>
      <c r="AT596" s="10"/>
      <c r="AU596" s="10"/>
      <c r="AV596" s="11"/>
      <c r="AW596" s="11"/>
      <c r="AX596" s="10"/>
      <c r="AY596" s="11"/>
      <c r="AZ596" s="11"/>
      <c r="BA596" s="11"/>
      <c r="BB596" s="10"/>
      <c r="BC596" s="11"/>
      <c r="BD596" s="11"/>
      <c r="BE596" s="11"/>
      <c r="BF596" s="11"/>
      <c r="BG596" s="11"/>
      <c r="BH596" s="11"/>
      <c r="BI596" s="11"/>
      <c r="BJ596" s="11"/>
      <c r="BK596" s="11"/>
      <c r="BL596" s="11"/>
      <c r="BM596" s="11"/>
      <c r="BN596" s="11"/>
      <c r="BO596" s="11"/>
      <c r="BP596" s="11"/>
      <c r="BQ596" s="11"/>
      <c r="BR596" s="11"/>
      <c r="BS596" s="11"/>
      <c r="BT596" s="11"/>
      <c r="BU596" s="11"/>
      <c r="BV596" s="11"/>
      <c r="BW596" s="11"/>
      <c r="BX596" s="11"/>
      <c r="BY596" s="11"/>
      <c r="BZ596" s="11"/>
      <c r="CA596" s="11"/>
      <c r="CB596" s="11"/>
      <c r="CC596" s="17"/>
      <c r="CD596" s="17"/>
      <c r="CE596" s="11"/>
      <c r="CF596" s="13"/>
      <c r="CG596" s="13"/>
      <c r="CH596" s="13"/>
      <c r="CI596" s="13"/>
      <c r="CJ596" s="13"/>
    </row>
    <row r="597" spans="1:88" s="9" customFormat="1" x14ac:dyDescent="0.25">
      <c r="A597" s="10"/>
      <c r="B597" s="10"/>
      <c r="C597" s="10"/>
      <c r="D597" s="10"/>
      <c r="E597" s="11"/>
      <c r="F597" s="10"/>
      <c r="G597" s="10"/>
      <c r="H597" s="10"/>
      <c r="I597" s="10"/>
      <c r="J597" s="10"/>
      <c r="K597" s="12"/>
      <c r="L597" s="10"/>
      <c r="M597" s="10"/>
      <c r="N597" s="13"/>
      <c r="O597" s="10"/>
      <c r="P597" s="10"/>
      <c r="Q597" s="10"/>
      <c r="R597" s="18"/>
      <c r="S597" s="10"/>
      <c r="T597" s="10"/>
      <c r="U597" s="13"/>
      <c r="V597" s="13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3"/>
      <c r="AL597" s="14"/>
      <c r="AM597" s="15"/>
      <c r="AN597" s="15"/>
      <c r="AO597" s="13"/>
      <c r="AP597" s="13"/>
      <c r="AQ597" s="16"/>
      <c r="AR597" s="10"/>
      <c r="AS597" s="10"/>
      <c r="AT597" s="10"/>
      <c r="AU597" s="10"/>
      <c r="AV597" s="11"/>
      <c r="AW597" s="11"/>
      <c r="AX597" s="10"/>
      <c r="AY597" s="11"/>
      <c r="AZ597" s="11"/>
      <c r="BA597" s="11"/>
      <c r="BB597" s="10"/>
      <c r="BC597" s="11"/>
      <c r="BD597" s="11"/>
      <c r="BE597" s="11"/>
      <c r="BF597" s="11"/>
      <c r="BG597" s="11"/>
      <c r="BH597" s="11"/>
      <c r="BI597" s="11"/>
      <c r="BJ597" s="11"/>
      <c r="BK597" s="11"/>
      <c r="BL597" s="11"/>
      <c r="BM597" s="11"/>
      <c r="BN597" s="11"/>
      <c r="BO597" s="11"/>
      <c r="BP597" s="11"/>
      <c r="BQ597" s="11"/>
      <c r="BR597" s="11"/>
      <c r="BS597" s="11"/>
      <c r="BT597" s="11"/>
      <c r="BU597" s="11"/>
      <c r="BV597" s="11"/>
      <c r="BW597" s="11"/>
      <c r="BX597" s="11"/>
      <c r="BY597" s="11"/>
      <c r="BZ597" s="11"/>
      <c r="CA597" s="11"/>
      <c r="CB597" s="11"/>
      <c r="CC597" s="17"/>
      <c r="CD597" s="17"/>
      <c r="CE597" s="11"/>
      <c r="CF597" s="13"/>
      <c r="CG597" s="13"/>
      <c r="CH597" s="13"/>
      <c r="CI597" s="13"/>
      <c r="CJ597" s="13"/>
    </row>
    <row r="598" spans="1:88" s="9" customFormat="1" x14ac:dyDescent="0.25">
      <c r="A598" s="10"/>
      <c r="B598" s="10"/>
      <c r="C598" s="10"/>
      <c r="D598" s="10"/>
      <c r="E598" s="11"/>
      <c r="F598" s="10"/>
      <c r="G598" s="10"/>
      <c r="H598" s="10"/>
      <c r="I598" s="10"/>
      <c r="J598" s="10"/>
      <c r="K598" s="12"/>
      <c r="L598" s="10"/>
      <c r="M598" s="10"/>
      <c r="N598" s="13"/>
      <c r="O598" s="10"/>
      <c r="P598" s="10"/>
      <c r="Q598" s="10"/>
      <c r="R598" s="18"/>
      <c r="S598" s="10"/>
      <c r="T598" s="10"/>
      <c r="U598" s="13"/>
      <c r="V598" s="13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3"/>
      <c r="AL598" s="14"/>
      <c r="AM598" s="15"/>
      <c r="AN598" s="15"/>
      <c r="AO598" s="13"/>
      <c r="AP598" s="13"/>
      <c r="AQ598" s="16"/>
      <c r="AR598" s="10"/>
      <c r="AS598" s="10"/>
      <c r="AT598" s="10"/>
      <c r="AU598" s="10"/>
      <c r="AV598" s="11"/>
      <c r="AW598" s="11"/>
      <c r="AX598" s="10"/>
      <c r="AY598" s="11"/>
      <c r="AZ598" s="11"/>
      <c r="BA598" s="11"/>
      <c r="BB598" s="10"/>
      <c r="BC598" s="11"/>
      <c r="BD598" s="11"/>
      <c r="BE598" s="11"/>
      <c r="BF598" s="11"/>
      <c r="BG598" s="11"/>
      <c r="BH598" s="11"/>
      <c r="BI598" s="11"/>
      <c r="BJ598" s="11"/>
      <c r="BK598" s="11"/>
      <c r="BL598" s="11"/>
      <c r="BM598" s="11"/>
      <c r="BN598" s="11"/>
      <c r="BO598" s="11"/>
      <c r="BP598" s="11"/>
      <c r="BQ598" s="11"/>
      <c r="BR598" s="11"/>
      <c r="BS598" s="11"/>
      <c r="BT598" s="11"/>
      <c r="BU598" s="11"/>
      <c r="BV598" s="11"/>
      <c r="BW598" s="11"/>
      <c r="BX598" s="11"/>
      <c r="BY598" s="11"/>
      <c r="BZ598" s="11"/>
      <c r="CA598" s="11"/>
      <c r="CB598" s="11"/>
      <c r="CC598" s="17"/>
      <c r="CD598" s="17"/>
      <c r="CE598" s="11"/>
      <c r="CF598" s="13"/>
      <c r="CG598" s="13"/>
      <c r="CH598" s="13"/>
      <c r="CI598" s="13"/>
      <c r="CJ598" s="13"/>
    </row>
    <row r="599" spans="1:88" s="9" customFormat="1" x14ac:dyDescent="0.25">
      <c r="A599" s="10"/>
      <c r="B599" s="10"/>
      <c r="C599" s="10"/>
      <c r="D599" s="10"/>
      <c r="E599" s="11"/>
      <c r="F599" s="10"/>
      <c r="G599" s="10"/>
      <c r="H599" s="10"/>
      <c r="I599" s="10"/>
      <c r="J599" s="10"/>
      <c r="K599" s="12"/>
      <c r="L599" s="10"/>
      <c r="M599" s="10"/>
      <c r="N599" s="13"/>
      <c r="O599" s="10"/>
      <c r="P599" s="10"/>
      <c r="Q599" s="10"/>
      <c r="R599" s="18"/>
      <c r="S599" s="10"/>
      <c r="T599" s="10"/>
      <c r="U599" s="13"/>
      <c r="V599" s="13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3"/>
      <c r="AL599" s="14"/>
      <c r="AM599" s="15"/>
      <c r="AN599" s="15"/>
      <c r="AO599" s="13"/>
      <c r="AP599" s="13"/>
      <c r="AQ599" s="16"/>
      <c r="AR599" s="10"/>
      <c r="AS599" s="10"/>
      <c r="AT599" s="10"/>
      <c r="AU599" s="10"/>
      <c r="AV599" s="11"/>
      <c r="AW599" s="11"/>
      <c r="AX599" s="10"/>
      <c r="AY599" s="11"/>
      <c r="AZ599" s="11"/>
      <c r="BA599" s="11"/>
      <c r="BB599" s="10"/>
      <c r="BC599" s="11"/>
      <c r="BD599" s="11"/>
      <c r="BE599" s="11"/>
      <c r="BF599" s="11"/>
      <c r="BG599" s="11"/>
      <c r="BH599" s="11"/>
      <c r="BI599" s="11"/>
      <c r="BJ599" s="11"/>
      <c r="BK599" s="11"/>
      <c r="BL599" s="11"/>
      <c r="BM599" s="11"/>
      <c r="BN599" s="11"/>
      <c r="BO599" s="11"/>
      <c r="BP599" s="11"/>
      <c r="BQ599" s="11"/>
      <c r="BR599" s="11"/>
      <c r="BS599" s="11"/>
      <c r="BT599" s="11"/>
      <c r="BU599" s="11"/>
      <c r="BV599" s="11"/>
      <c r="BW599" s="11"/>
      <c r="BX599" s="11"/>
      <c r="BY599" s="11"/>
      <c r="BZ599" s="11"/>
      <c r="CA599" s="11"/>
      <c r="CB599" s="11"/>
      <c r="CC599" s="17"/>
      <c r="CD599" s="17"/>
      <c r="CE599" s="11"/>
      <c r="CF599" s="13"/>
      <c r="CG599" s="13"/>
      <c r="CH599" s="13"/>
      <c r="CI599" s="13"/>
      <c r="CJ599" s="13"/>
    </row>
    <row r="600" spans="1:88" s="9" customFormat="1" x14ac:dyDescent="0.25">
      <c r="A600" s="10"/>
      <c r="B600" s="10"/>
      <c r="C600" s="10"/>
      <c r="D600" s="10"/>
      <c r="E600" s="11"/>
      <c r="F600" s="10"/>
      <c r="G600" s="10"/>
      <c r="H600" s="10"/>
      <c r="I600" s="10"/>
      <c r="J600" s="10"/>
      <c r="K600" s="12"/>
      <c r="L600" s="10"/>
      <c r="M600" s="10"/>
      <c r="N600" s="13"/>
      <c r="O600" s="10"/>
      <c r="P600" s="10"/>
      <c r="Q600" s="10"/>
      <c r="R600" s="18"/>
      <c r="S600" s="10"/>
      <c r="T600" s="10"/>
      <c r="U600" s="13"/>
      <c r="V600" s="13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3"/>
      <c r="AL600" s="14"/>
      <c r="AM600" s="15"/>
      <c r="AN600" s="15"/>
      <c r="AO600" s="13"/>
      <c r="AP600" s="13"/>
      <c r="AQ600" s="16"/>
      <c r="AR600" s="10"/>
      <c r="AS600" s="10"/>
      <c r="AT600" s="10"/>
      <c r="AU600" s="10"/>
      <c r="AV600" s="11"/>
      <c r="AW600" s="11"/>
      <c r="AX600" s="10"/>
      <c r="AY600" s="11"/>
      <c r="AZ600" s="11"/>
      <c r="BA600" s="11"/>
      <c r="BB600" s="10"/>
      <c r="BC600" s="11"/>
      <c r="BD600" s="11"/>
      <c r="BE600" s="11"/>
      <c r="BF600" s="11"/>
      <c r="BG600" s="11"/>
      <c r="BH600" s="11"/>
      <c r="BI600" s="11"/>
      <c r="BJ600" s="11"/>
      <c r="BK600" s="11"/>
      <c r="BL600" s="11"/>
      <c r="BM600" s="11"/>
      <c r="BN600" s="11"/>
      <c r="BO600" s="11"/>
      <c r="BP600" s="11"/>
      <c r="BQ600" s="11"/>
      <c r="BR600" s="11"/>
      <c r="BS600" s="11"/>
      <c r="BT600" s="11"/>
      <c r="BU600" s="11"/>
      <c r="BV600" s="11"/>
      <c r="BW600" s="11"/>
      <c r="BX600" s="11"/>
      <c r="BY600" s="11"/>
      <c r="BZ600" s="11"/>
      <c r="CA600" s="11"/>
      <c r="CB600" s="11"/>
      <c r="CC600" s="17"/>
      <c r="CD600" s="17"/>
      <c r="CE600" s="11"/>
      <c r="CF600" s="13"/>
      <c r="CG600" s="13"/>
      <c r="CH600" s="13"/>
      <c r="CI600" s="13"/>
      <c r="CJ600" s="13"/>
    </row>
    <row r="601" spans="1:88" s="9" customFormat="1" x14ac:dyDescent="0.25">
      <c r="A601" s="10"/>
      <c r="B601" s="10"/>
      <c r="C601" s="10"/>
      <c r="D601" s="10"/>
      <c r="E601" s="11"/>
      <c r="F601" s="10"/>
      <c r="G601" s="10"/>
      <c r="H601" s="10"/>
      <c r="I601" s="10"/>
      <c r="J601" s="10"/>
      <c r="K601" s="12"/>
      <c r="L601" s="10"/>
      <c r="M601" s="10"/>
      <c r="N601" s="13"/>
      <c r="O601" s="10"/>
      <c r="P601" s="10"/>
      <c r="Q601" s="10"/>
      <c r="R601" s="18"/>
      <c r="S601" s="10"/>
      <c r="T601" s="10"/>
      <c r="U601" s="13"/>
      <c r="V601" s="13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3"/>
      <c r="AL601" s="14"/>
      <c r="AM601" s="15"/>
      <c r="AN601" s="15"/>
      <c r="AO601" s="13"/>
      <c r="AP601" s="13"/>
      <c r="AQ601" s="16"/>
      <c r="AR601" s="10"/>
      <c r="AS601" s="10"/>
      <c r="AT601" s="10"/>
      <c r="AU601" s="10"/>
      <c r="AV601" s="11"/>
      <c r="AW601" s="11"/>
      <c r="AX601" s="10"/>
      <c r="AY601" s="11"/>
      <c r="AZ601" s="11"/>
      <c r="BA601" s="11"/>
      <c r="BB601" s="10"/>
      <c r="BC601" s="11"/>
      <c r="BD601" s="11"/>
      <c r="BE601" s="11"/>
      <c r="BF601" s="11"/>
      <c r="BG601" s="11"/>
      <c r="BH601" s="11"/>
      <c r="BI601" s="11"/>
      <c r="BJ601" s="11"/>
      <c r="BK601" s="11"/>
      <c r="BL601" s="11"/>
      <c r="BM601" s="11"/>
      <c r="BN601" s="11"/>
      <c r="BO601" s="11"/>
      <c r="BP601" s="11"/>
      <c r="BQ601" s="11"/>
      <c r="BR601" s="11"/>
      <c r="BS601" s="11"/>
      <c r="BT601" s="11"/>
      <c r="BU601" s="11"/>
      <c r="BV601" s="11"/>
      <c r="BW601" s="11"/>
      <c r="BX601" s="11"/>
      <c r="BY601" s="11"/>
      <c r="BZ601" s="11"/>
      <c r="CA601" s="11"/>
      <c r="CB601" s="11"/>
      <c r="CC601" s="17"/>
      <c r="CD601" s="17"/>
      <c r="CE601" s="11"/>
      <c r="CF601" s="13"/>
      <c r="CG601" s="13"/>
      <c r="CH601" s="13"/>
      <c r="CI601" s="13"/>
      <c r="CJ601" s="13"/>
    </row>
    <row r="602" spans="1:88" s="9" customFormat="1" x14ac:dyDescent="0.25">
      <c r="A602" s="10"/>
      <c r="B602" s="10"/>
      <c r="C602" s="10"/>
      <c r="D602" s="10"/>
      <c r="E602" s="11"/>
      <c r="F602" s="10"/>
      <c r="G602" s="10"/>
      <c r="H602" s="10"/>
      <c r="I602" s="10"/>
      <c r="J602" s="10"/>
      <c r="K602" s="12"/>
      <c r="L602" s="10"/>
      <c r="M602" s="10"/>
      <c r="N602" s="13"/>
      <c r="O602" s="10"/>
      <c r="P602" s="10"/>
      <c r="Q602" s="10"/>
      <c r="R602" s="18"/>
      <c r="S602" s="10"/>
      <c r="T602" s="10"/>
      <c r="U602" s="13"/>
      <c r="V602" s="13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3"/>
      <c r="AL602" s="14"/>
      <c r="AM602" s="15"/>
      <c r="AN602" s="15"/>
      <c r="AO602" s="13"/>
      <c r="AP602" s="13"/>
      <c r="AQ602" s="16"/>
      <c r="AR602" s="10"/>
      <c r="AS602" s="10"/>
      <c r="AT602" s="10"/>
      <c r="AU602" s="10"/>
      <c r="AV602" s="11"/>
      <c r="AW602" s="11"/>
      <c r="AX602" s="10"/>
      <c r="AY602" s="11"/>
      <c r="AZ602" s="11"/>
      <c r="BA602" s="11"/>
      <c r="BB602" s="10"/>
      <c r="BC602" s="11"/>
      <c r="BD602" s="11"/>
      <c r="BE602" s="11"/>
      <c r="BF602" s="11"/>
      <c r="BG602" s="11"/>
      <c r="BH602" s="11"/>
      <c r="BI602" s="11"/>
      <c r="BJ602" s="11"/>
      <c r="BK602" s="11"/>
      <c r="BL602" s="11"/>
      <c r="BM602" s="11"/>
      <c r="BN602" s="11"/>
      <c r="BO602" s="11"/>
      <c r="BP602" s="11"/>
      <c r="BQ602" s="11"/>
      <c r="BR602" s="11"/>
      <c r="BS602" s="11"/>
      <c r="BT602" s="11"/>
      <c r="BU602" s="11"/>
      <c r="BV602" s="11"/>
      <c r="BW602" s="11"/>
      <c r="BX602" s="11"/>
      <c r="BY602" s="11"/>
      <c r="BZ602" s="11"/>
      <c r="CA602" s="11"/>
      <c r="CB602" s="11"/>
      <c r="CC602" s="17"/>
      <c r="CD602" s="17"/>
      <c r="CE602" s="11"/>
      <c r="CF602" s="13"/>
      <c r="CG602" s="13"/>
      <c r="CH602" s="13"/>
      <c r="CI602" s="13"/>
      <c r="CJ602" s="13"/>
    </row>
    <row r="603" spans="1:88" s="9" customFormat="1" x14ac:dyDescent="0.25">
      <c r="A603" s="10"/>
      <c r="B603" s="10"/>
      <c r="C603" s="10"/>
      <c r="D603" s="10"/>
      <c r="E603" s="11"/>
      <c r="F603" s="10"/>
      <c r="G603" s="10"/>
      <c r="H603" s="10"/>
      <c r="I603" s="10"/>
      <c r="J603" s="10"/>
      <c r="K603" s="12"/>
      <c r="L603" s="10"/>
      <c r="M603" s="10"/>
      <c r="N603" s="13"/>
      <c r="O603" s="10"/>
      <c r="P603" s="10"/>
      <c r="Q603" s="10"/>
      <c r="R603" s="18"/>
      <c r="S603" s="10"/>
      <c r="T603" s="10"/>
      <c r="U603" s="13"/>
      <c r="V603" s="13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3"/>
      <c r="AL603" s="14"/>
      <c r="AM603" s="15"/>
      <c r="AN603" s="15"/>
      <c r="AO603" s="13"/>
      <c r="AP603" s="13"/>
      <c r="AQ603" s="16"/>
      <c r="AR603" s="10"/>
      <c r="AS603" s="10"/>
      <c r="AT603" s="10"/>
      <c r="AU603" s="10"/>
      <c r="AV603" s="11"/>
      <c r="AW603" s="11"/>
      <c r="AX603" s="10"/>
      <c r="AY603" s="11"/>
      <c r="AZ603" s="11"/>
      <c r="BA603" s="11"/>
      <c r="BB603" s="10"/>
      <c r="BC603" s="11"/>
      <c r="BD603" s="11"/>
      <c r="BE603" s="11"/>
      <c r="BF603" s="11"/>
      <c r="BG603" s="11"/>
      <c r="BH603" s="11"/>
      <c r="BI603" s="11"/>
      <c r="BJ603" s="11"/>
      <c r="BK603" s="11"/>
      <c r="BL603" s="11"/>
      <c r="BM603" s="11"/>
      <c r="BN603" s="11"/>
      <c r="BO603" s="11"/>
      <c r="BP603" s="11"/>
      <c r="BQ603" s="11"/>
      <c r="BR603" s="11"/>
      <c r="BS603" s="11"/>
      <c r="BT603" s="11"/>
      <c r="BU603" s="11"/>
      <c r="BV603" s="11"/>
      <c r="BW603" s="11"/>
      <c r="BX603" s="11"/>
      <c r="BY603" s="11"/>
      <c r="BZ603" s="11"/>
      <c r="CA603" s="11"/>
      <c r="CB603" s="11"/>
      <c r="CC603" s="17"/>
      <c r="CD603" s="17"/>
      <c r="CE603" s="11"/>
      <c r="CF603" s="13"/>
      <c r="CG603" s="13"/>
      <c r="CH603" s="13"/>
      <c r="CI603" s="13"/>
      <c r="CJ603" s="13"/>
    </row>
    <row r="604" spans="1:88" s="9" customFormat="1" x14ac:dyDescent="0.25">
      <c r="A604" s="10"/>
      <c r="B604" s="10"/>
      <c r="C604" s="10"/>
      <c r="D604" s="10"/>
      <c r="E604" s="11"/>
      <c r="F604" s="10"/>
      <c r="G604" s="10"/>
      <c r="H604" s="10"/>
      <c r="I604" s="10"/>
      <c r="J604" s="10"/>
      <c r="K604" s="12"/>
      <c r="L604" s="10"/>
      <c r="M604" s="10"/>
      <c r="N604" s="13"/>
      <c r="O604" s="10"/>
      <c r="P604" s="10"/>
      <c r="Q604" s="10"/>
      <c r="R604" s="18"/>
      <c r="S604" s="10"/>
      <c r="T604" s="10"/>
      <c r="U604" s="13"/>
      <c r="V604" s="13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3"/>
      <c r="AL604" s="14"/>
      <c r="AM604" s="15"/>
      <c r="AN604" s="15"/>
      <c r="AO604" s="13"/>
      <c r="AP604" s="13"/>
      <c r="AQ604" s="16"/>
      <c r="AR604" s="10"/>
      <c r="AS604" s="10"/>
      <c r="AT604" s="10"/>
      <c r="AU604" s="10"/>
      <c r="AV604" s="11"/>
      <c r="AW604" s="11"/>
      <c r="AX604" s="10"/>
      <c r="AY604" s="11"/>
      <c r="AZ604" s="11"/>
      <c r="BA604" s="11"/>
      <c r="BB604" s="10"/>
      <c r="BC604" s="11"/>
      <c r="BD604" s="11"/>
      <c r="BE604" s="11"/>
      <c r="BF604" s="11"/>
      <c r="BG604" s="11"/>
      <c r="BH604" s="11"/>
      <c r="BI604" s="11"/>
      <c r="BJ604" s="11"/>
      <c r="BK604" s="11"/>
      <c r="BL604" s="11"/>
      <c r="BM604" s="11"/>
      <c r="BN604" s="11"/>
      <c r="BO604" s="11"/>
      <c r="BP604" s="11"/>
      <c r="BQ604" s="11"/>
      <c r="BR604" s="11"/>
      <c r="BS604" s="11"/>
      <c r="BT604" s="11"/>
      <c r="BU604" s="11"/>
      <c r="BV604" s="11"/>
      <c r="BW604" s="11"/>
      <c r="BX604" s="11"/>
      <c r="BY604" s="11"/>
      <c r="BZ604" s="11"/>
      <c r="CA604" s="11"/>
      <c r="CB604" s="11"/>
      <c r="CC604" s="17"/>
      <c r="CD604" s="17"/>
      <c r="CE604" s="11"/>
      <c r="CF604" s="13"/>
      <c r="CG604" s="13"/>
      <c r="CH604" s="13"/>
      <c r="CI604" s="13"/>
      <c r="CJ604" s="13"/>
    </row>
    <row r="605" spans="1:88" s="9" customFormat="1" x14ac:dyDescent="0.25">
      <c r="A605" s="10"/>
      <c r="B605" s="10"/>
      <c r="C605" s="10"/>
      <c r="D605" s="10"/>
      <c r="E605" s="11"/>
      <c r="F605" s="10"/>
      <c r="G605" s="10"/>
      <c r="H605" s="10"/>
      <c r="I605" s="10"/>
      <c r="J605" s="10"/>
      <c r="K605" s="12"/>
      <c r="L605" s="10"/>
      <c r="M605" s="10"/>
      <c r="N605" s="13"/>
      <c r="O605" s="10"/>
      <c r="P605" s="10"/>
      <c r="Q605" s="10"/>
      <c r="R605" s="18"/>
      <c r="S605" s="10"/>
      <c r="T605" s="10"/>
      <c r="U605" s="13"/>
      <c r="V605" s="13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3"/>
      <c r="AL605" s="14"/>
      <c r="AM605" s="15"/>
      <c r="AN605" s="15"/>
      <c r="AO605" s="13"/>
      <c r="AP605" s="13"/>
      <c r="AQ605" s="16"/>
      <c r="AR605" s="10"/>
      <c r="AS605" s="10"/>
      <c r="AT605" s="10"/>
      <c r="AU605" s="10"/>
      <c r="AV605" s="11"/>
      <c r="AW605" s="11"/>
      <c r="AX605" s="10"/>
      <c r="AY605" s="11"/>
      <c r="AZ605" s="11"/>
      <c r="BA605" s="11"/>
      <c r="BB605" s="10"/>
      <c r="BC605" s="11"/>
      <c r="BD605" s="11"/>
      <c r="BE605" s="11"/>
      <c r="BF605" s="11"/>
      <c r="BG605" s="11"/>
      <c r="BH605" s="11"/>
      <c r="BI605" s="11"/>
      <c r="BJ605" s="11"/>
      <c r="BK605" s="11"/>
      <c r="BL605" s="11"/>
      <c r="BM605" s="11"/>
      <c r="BN605" s="11"/>
      <c r="BO605" s="11"/>
      <c r="BP605" s="11"/>
      <c r="BQ605" s="11"/>
      <c r="BR605" s="11"/>
      <c r="BS605" s="11"/>
      <c r="BT605" s="11"/>
      <c r="BU605" s="11"/>
      <c r="BV605" s="11"/>
      <c r="BW605" s="11"/>
      <c r="BX605" s="11"/>
      <c r="BY605" s="11"/>
      <c r="BZ605" s="11"/>
      <c r="CA605" s="11"/>
      <c r="CB605" s="11"/>
      <c r="CC605" s="17"/>
      <c r="CD605" s="17"/>
      <c r="CE605" s="11"/>
      <c r="CF605" s="13"/>
      <c r="CG605" s="13"/>
      <c r="CH605" s="13"/>
      <c r="CI605" s="13"/>
      <c r="CJ605" s="13"/>
    </row>
    <row r="606" spans="1:88" s="9" customFormat="1" x14ac:dyDescent="0.25">
      <c r="A606" s="10"/>
      <c r="B606" s="10"/>
      <c r="C606" s="10"/>
      <c r="D606" s="10"/>
      <c r="E606" s="11"/>
      <c r="F606" s="10"/>
      <c r="G606" s="10"/>
      <c r="H606" s="10"/>
      <c r="I606" s="10"/>
      <c r="J606" s="10"/>
      <c r="K606" s="12"/>
      <c r="L606" s="10"/>
      <c r="M606" s="10"/>
      <c r="N606" s="13"/>
      <c r="O606" s="10"/>
      <c r="P606" s="10"/>
      <c r="Q606" s="10"/>
      <c r="R606" s="18"/>
      <c r="S606" s="10"/>
      <c r="T606" s="10"/>
      <c r="U606" s="13"/>
      <c r="V606" s="13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3"/>
      <c r="AL606" s="14"/>
      <c r="AM606" s="15"/>
      <c r="AN606" s="15"/>
      <c r="AO606" s="13"/>
      <c r="AP606" s="13"/>
      <c r="AQ606" s="16"/>
      <c r="AR606" s="10"/>
      <c r="AS606" s="10"/>
      <c r="AT606" s="10"/>
      <c r="AU606" s="10"/>
      <c r="AV606" s="11"/>
      <c r="AW606" s="11"/>
      <c r="AX606" s="10"/>
      <c r="AY606" s="11"/>
      <c r="AZ606" s="11"/>
      <c r="BA606" s="11"/>
      <c r="BB606" s="10"/>
      <c r="BC606" s="11"/>
      <c r="BD606" s="11"/>
      <c r="BE606" s="11"/>
      <c r="BF606" s="11"/>
      <c r="BG606" s="11"/>
      <c r="BH606" s="11"/>
      <c r="BI606" s="11"/>
      <c r="BJ606" s="11"/>
      <c r="BK606" s="11"/>
      <c r="BL606" s="11"/>
      <c r="BM606" s="11"/>
      <c r="BN606" s="11"/>
      <c r="BO606" s="11"/>
      <c r="BP606" s="11"/>
      <c r="BQ606" s="11"/>
      <c r="BR606" s="11"/>
      <c r="BS606" s="11"/>
      <c r="BT606" s="11"/>
      <c r="BU606" s="11"/>
      <c r="BV606" s="11"/>
      <c r="BW606" s="11"/>
      <c r="BX606" s="11"/>
      <c r="BY606" s="11"/>
      <c r="BZ606" s="11"/>
      <c r="CA606" s="11"/>
      <c r="CB606" s="11"/>
      <c r="CC606" s="17"/>
      <c r="CD606" s="17"/>
      <c r="CE606" s="11"/>
      <c r="CF606" s="13"/>
      <c r="CG606" s="13"/>
      <c r="CH606" s="13"/>
      <c r="CI606" s="13"/>
      <c r="CJ606" s="13"/>
    </row>
    <row r="607" spans="1:88" s="9" customFormat="1" x14ac:dyDescent="0.25">
      <c r="A607" s="10"/>
      <c r="B607" s="10"/>
      <c r="C607" s="10"/>
      <c r="D607" s="10"/>
      <c r="E607" s="11"/>
      <c r="F607" s="10"/>
      <c r="G607" s="10"/>
      <c r="H607" s="10"/>
      <c r="I607" s="10"/>
      <c r="J607" s="10"/>
      <c r="K607" s="12"/>
      <c r="L607" s="10"/>
      <c r="M607" s="10"/>
      <c r="N607" s="13"/>
      <c r="O607" s="10"/>
      <c r="P607" s="10"/>
      <c r="Q607" s="10"/>
      <c r="R607" s="18"/>
      <c r="S607" s="10"/>
      <c r="T607" s="10"/>
      <c r="U607" s="13"/>
      <c r="V607" s="13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3"/>
      <c r="AL607" s="14"/>
      <c r="AM607" s="15"/>
      <c r="AN607" s="15"/>
      <c r="AO607" s="13"/>
      <c r="AP607" s="13"/>
      <c r="AQ607" s="16"/>
      <c r="AR607" s="10"/>
      <c r="AS607" s="10"/>
      <c r="AT607" s="10"/>
      <c r="AU607" s="10"/>
      <c r="AV607" s="11"/>
      <c r="AW607" s="11"/>
      <c r="AX607" s="10"/>
      <c r="AY607" s="11"/>
      <c r="AZ607" s="11"/>
      <c r="BA607" s="11"/>
      <c r="BB607" s="10"/>
      <c r="BC607" s="11"/>
      <c r="BD607" s="11"/>
      <c r="BE607" s="11"/>
      <c r="BF607" s="11"/>
      <c r="BG607" s="11"/>
      <c r="BH607" s="11"/>
      <c r="BI607" s="11"/>
      <c r="BJ607" s="11"/>
      <c r="BK607" s="11"/>
      <c r="BL607" s="11"/>
      <c r="BM607" s="11"/>
      <c r="BN607" s="11"/>
      <c r="BO607" s="11"/>
      <c r="BP607" s="11"/>
      <c r="BQ607" s="11"/>
      <c r="BR607" s="11"/>
      <c r="BS607" s="11"/>
      <c r="BT607" s="11"/>
      <c r="BU607" s="11"/>
      <c r="BV607" s="11"/>
      <c r="BW607" s="11"/>
      <c r="BX607" s="11"/>
      <c r="BY607" s="11"/>
      <c r="BZ607" s="11"/>
      <c r="CA607" s="11"/>
      <c r="CB607" s="11"/>
      <c r="CC607" s="17"/>
      <c r="CD607" s="17"/>
      <c r="CE607" s="11"/>
      <c r="CF607" s="13"/>
      <c r="CG607" s="13"/>
      <c r="CH607" s="13"/>
      <c r="CI607" s="13"/>
      <c r="CJ607" s="13"/>
    </row>
    <row r="608" spans="1:88" s="9" customFormat="1" x14ac:dyDescent="0.25">
      <c r="A608" s="10"/>
      <c r="B608" s="10"/>
      <c r="C608" s="10"/>
      <c r="D608" s="10"/>
      <c r="E608" s="11"/>
      <c r="F608" s="10"/>
      <c r="G608" s="10"/>
      <c r="H608" s="10"/>
      <c r="I608" s="10"/>
      <c r="J608" s="10"/>
      <c r="K608" s="12"/>
      <c r="L608" s="10"/>
      <c r="M608" s="10"/>
      <c r="N608" s="13"/>
      <c r="O608" s="10"/>
      <c r="P608" s="10"/>
      <c r="Q608" s="10"/>
      <c r="R608" s="18"/>
      <c r="S608" s="10"/>
      <c r="T608" s="10"/>
      <c r="U608" s="13"/>
      <c r="V608" s="13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3"/>
      <c r="AL608" s="14"/>
      <c r="AM608" s="15"/>
      <c r="AN608" s="15"/>
      <c r="AO608" s="13"/>
      <c r="AP608" s="13"/>
      <c r="AQ608" s="16"/>
      <c r="AR608" s="10"/>
      <c r="AS608" s="10"/>
      <c r="AT608" s="10"/>
      <c r="AU608" s="10"/>
      <c r="AV608" s="11"/>
      <c r="AW608" s="11"/>
      <c r="AX608" s="10"/>
      <c r="AY608" s="11"/>
      <c r="AZ608" s="11"/>
      <c r="BA608" s="11"/>
      <c r="BB608" s="10"/>
      <c r="BC608" s="11"/>
      <c r="BD608" s="11"/>
      <c r="BE608" s="11"/>
      <c r="BF608" s="11"/>
      <c r="BG608" s="11"/>
      <c r="BH608" s="11"/>
      <c r="BI608" s="11"/>
      <c r="BJ608" s="11"/>
      <c r="BK608" s="11"/>
      <c r="BL608" s="11"/>
      <c r="BM608" s="11"/>
      <c r="BN608" s="11"/>
      <c r="BO608" s="11"/>
      <c r="BP608" s="11"/>
      <c r="BQ608" s="11"/>
      <c r="BR608" s="11"/>
      <c r="BS608" s="11"/>
      <c r="BT608" s="11"/>
      <c r="BU608" s="11"/>
      <c r="BV608" s="11"/>
      <c r="BW608" s="11"/>
      <c r="BX608" s="11"/>
      <c r="BY608" s="11"/>
      <c r="BZ608" s="11"/>
      <c r="CA608" s="11"/>
      <c r="CB608" s="11"/>
      <c r="CC608" s="17"/>
      <c r="CD608" s="17"/>
      <c r="CE608" s="11"/>
      <c r="CF608" s="13"/>
      <c r="CG608" s="13"/>
      <c r="CH608" s="13"/>
      <c r="CI608" s="13"/>
      <c r="CJ608" s="13"/>
    </row>
    <row r="609" spans="1:88" s="9" customFormat="1" x14ac:dyDescent="0.25">
      <c r="A609" s="10"/>
      <c r="B609" s="10"/>
      <c r="C609" s="10"/>
      <c r="D609" s="10"/>
      <c r="E609" s="11"/>
      <c r="F609" s="10"/>
      <c r="G609" s="10"/>
      <c r="H609" s="10"/>
      <c r="I609" s="10"/>
      <c r="J609" s="10"/>
      <c r="K609" s="12"/>
      <c r="L609" s="10"/>
      <c r="M609" s="10"/>
      <c r="N609" s="13"/>
      <c r="O609" s="10"/>
      <c r="P609" s="10"/>
      <c r="Q609" s="10"/>
      <c r="R609" s="18"/>
      <c r="S609" s="10"/>
      <c r="T609" s="10"/>
      <c r="U609" s="13"/>
      <c r="V609" s="13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3"/>
      <c r="AL609" s="14"/>
      <c r="AM609" s="15"/>
      <c r="AN609" s="15"/>
      <c r="AO609" s="13"/>
      <c r="AP609" s="13"/>
      <c r="AQ609" s="16"/>
      <c r="AR609" s="10"/>
      <c r="AS609" s="10"/>
      <c r="AT609" s="10"/>
      <c r="AU609" s="10"/>
      <c r="AV609" s="11"/>
      <c r="AW609" s="11"/>
      <c r="AX609" s="10"/>
      <c r="AY609" s="11"/>
      <c r="AZ609" s="11"/>
      <c r="BA609" s="11"/>
      <c r="BB609" s="10"/>
      <c r="BC609" s="11"/>
      <c r="BD609" s="11"/>
      <c r="BE609" s="11"/>
      <c r="BF609" s="11"/>
      <c r="BG609" s="11"/>
      <c r="BH609" s="11"/>
      <c r="BI609" s="11"/>
      <c r="BJ609" s="11"/>
      <c r="BK609" s="11"/>
      <c r="BL609" s="11"/>
      <c r="BM609" s="11"/>
      <c r="BN609" s="11"/>
      <c r="BO609" s="11"/>
      <c r="BP609" s="11"/>
      <c r="BQ609" s="11"/>
      <c r="BR609" s="11"/>
      <c r="BS609" s="11"/>
      <c r="BT609" s="11"/>
      <c r="BU609" s="11"/>
      <c r="BV609" s="11"/>
      <c r="BW609" s="11"/>
      <c r="BX609" s="11"/>
      <c r="BY609" s="11"/>
      <c r="BZ609" s="11"/>
      <c r="CA609" s="11"/>
      <c r="CB609" s="11"/>
      <c r="CC609" s="17"/>
      <c r="CD609" s="17"/>
      <c r="CE609" s="11"/>
      <c r="CF609" s="13"/>
      <c r="CG609" s="13"/>
      <c r="CH609" s="13"/>
      <c r="CI609" s="13"/>
      <c r="CJ609" s="13"/>
    </row>
    <row r="610" spans="1:88" s="9" customFormat="1" x14ac:dyDescent="0.25">
      <c r="A610" s="10"/>
      <c r="B610" s="10"/>
      <c r="C610" s="10"/>
      <c r="D610" s="10"/>
      <c r="E610" s="11"/>
      <c r="F610" s="10"/>
      <c r="G610" s="10"/>
      <c r="H610" s="10"/>
      <c r="I610" s="10"/>
      <c r="J610" s="10"/>
      <c r="K610" s="12"/>
      <c r="L610" s="10"/>
      <c r="M610" s="10"/>
      <c r="N610" s="13"/>
      <c r="O610" s="10"/>
      <c r="P610" s="10"/>
      <c r="Q610" s="10"/>
      <c r="R610" s="18"/>
      <c r="S610" s="10"/>
      <c r="T610" s="10"/>
      <c r="U610" s="13"/>
      <c r="V610" s="13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3"/>
      <c r="AL610" s="14"/>
      <c r="AM610" s="15"/>
      <c r="AN610" s="15"/>
      <c r="AO610" s="13"/>
      <c r="AP610" s="13"/>
      <c r="AQ610" s="16"/>
      <c r="AR610" s="10"/>
      <c r="AS610" s="10"/>
      <c r="AT610" s="10"/>
      <c r="AU610" s="10"/>
      <c r="AV610" s="11"/>
      <c r="AW610" s="11"/>
      <c r="AX610" s="10"/>
      <c r="AY610" s="11"/>
      <c r="AZ610" s="11"/>
      <c r="BA610" s="11"/>
      <c r="BB610" s="10"/>
      <c r="BC610" s="11"/>
      <c r="BD610" s="11"/>
      <c r="BE610" s="11"/>
      <c r="BF610" s="11"/>
      <c r="BG610" s="11"/>
      <c r="BH610" s="11"/>
      <c r="BI610" s="11"/>
      <c r="BJ610" s="11"/>
      <c r="BK610" s="11"/>
      <c r="BL610" s="11"/>
      <c r="BM610" s="11"/>
      <c r="BN610" s="11"/>
      <c r="BO610" s="11"/>
      <c r="BP610" s="11"/>
      <c r="BQ610" s="11"/>
      <c r="BR610" s="11"/>
      <c r="BS610" s="11"/>
      <c r="BT610" s="11"/>
      <c r="BU610" s="11"/>
      <c r="BV610" s="11"/>
      <c r="BW610" s="11"/>
      <c r="BX610" s="11"/>
      <c r="BY610" s="11"/>
      <c r="BZ610" s="11"/>
      <c r="CA610" s="11"/>
      <c r="CB610" s="11"/>
      <c r="CC610" s="17"/>
      <c r="CD610" s="17"/>
      <c r="CE610" s="11"/>
      <c r="CF610" s="13"/>
      <c r="CG610" s="13"/>
      <c r="CH610" s="13"/>
      <c r="CI610" s="13"/>
      <c r="CJ610" s="13"/>
    </row>
    <row r="611" spans="1:88" s="9" customFormat="1" x14ac:dyDescent="0.25">
      <c r="A611" s="10"/>
      <c r="B611" s="10"/>
      <c r="C611" s="10"/>
      <c r="D611" s="10"/>
      <c r="E611" s="11"/>
      <c r="F611" s="10"/>
      <c r="G611" s="10"/>
      <c r="H611" s="10"/>
      <c r="I611" s="10"/>
      <c r="J611" s="10"/>
      <c r="K611" s="12"/>
      <c r="L611" s="10"/>
      <c r="M611" s="10"/>
      <c r="N611" s="13"/>
      <c r="O611" s="10"/>
      <c r="P611" s="10"/>
      <c r="Q611" s="10"/>
      <c r="R611" s="18"/>
      <c r="S611" s="10"/>
      <c r="T611" s="10"/>
      <c r="U611" s="13"/>
      <c r="V611" s="13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3"/>
      <c r="AL611" s="14"/>
      <c r="AM611" s="15"/>
      <c r="AN611" s="15"/>
      <c r="AO611" s="13"/>
      <c r="AP611" s="13"/>
      <c r="AQ611" s="16"/>
      <c r="AR611" s="10"/>
      <c r="AS611" s="10"/>
      <c r="AT611" s="10"/>
      <c r="AU611" s="10"/>
      <c r="AV611" s="11"/>
      <c r="AW611" s="11"/>
      <c r="AX611" s="10"/>
      <c r="AY611" s="11"/>
      <c r="AZ611" s="11"/>
      <c r="BA611" s="11"/>
      <c r="BB611" s="10"/>
      <c r="BC611" s="11"/>
      <c r="BD611" s="11"/>
      <c r="BE611" s="11"/>
      <c r="BF611" s="11"/>
      <c r="BG611" s="11"/>
      <c r="BH611" s="11"/>
      <c r="BI611" s="11"/>
      <c r="BJ611" s="11"/>
      <c r="BK611" s="11"/>
      <c r="BL611" s="11"/>
      <c r="BM611" s="11"/>
      <c r="BN611" s="11"/>
      <c r="BO611" s="11"/>
      <c r="BP611" s="11"/>
      <c r="BQ611" s="11"/>
      <c r="BR611" s="11"/>
      <c r="BS611" s="11"/>
      <c r="BT611" s="11"/>
      <c r="BU611" s="11"/>
      <c r="BV611" s="11"/>
      <c r="BW611" s="11"/>
      <c r="BX611" s="11"/>
      <c r="BY611" s="11"/>
      <c r="BZ611" s="11"/>
      <c r="CA611" s="11"/>
      <c r="CB611" s="11"/>
      <c r="CC611" s="17"/>
      <c r="CD611" s="17"/>
      <c r="CE611" s="11"/>
      <c r="CF611" s="13"/>
      <c r="CG611" s="13"/>
      <c r="CH611" s="13"/>
      <c r="CI611" s="13"/>
      <c r="CJ611" s="13"/>
    </row>
    <row r="612" spans="1:88" s="9" customFormat="1" x14ac:dyDescent="0.25">
      <c r="A612" s="10"/>
      <c r="B612" s="10"/>
      <c r="C612" s="10"/>
      <c r="D612" s="10"/>
      <c r="E612" s="11"/>
      <c r="F612" s="10"/>
      <c r="G612" s="10"/>
      <c r="H612" s="10"/>
      <c r="I612" s="10"/>
      <c r="J612" s="10"/>
      <c r="K612" s="12"/>
      <c r="L612" s="10"/>
      <c r="M612" s="10"/>
      <c r="N612" s="13"/>
      <c r="O612" s="10"/>
      <c r="P612" s="10"/>
      <c r="Q612" s="10"/>
      <c r="R612" s="18"/>
      <c r="S612" s="10"/>
      <c r="T612" s="10"/>
      <c r="U612" s="13"/>
      <c r="V612" s="13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3"/>
      <c r="AL612" s="14"/>
      <c r="AM612" s="15"/>
      <c r="AN612" s="15"/>
      <c r="AO612" s="13"/>
      <c r="AP612" s="13"/>
      <c r="AQ612" s="16"/>
      <c r="AR612" s="10"/>
      <c r="AS612" s="10"/>
      <c r="AT612" s="10"/>
      <c r="AU612" s="10"/>
      <c r="AV612" s="11"/>
      <c r="AW612" s="11"/>
      <c r="AX612" s="10"/>
      <c r="AY612" s="11"/>
      <c r="AZ612" s="11"/>
      <c r="BA612" s="11"/>
      <c r="BB612" s="10"/>
      <c r="BC612" s="11"/>
      <c r="BD612" s="11"/>
      <c r="BE612" s="11"/>
      <c r="BF612" s="11"/>
      <c r="BG612" s="11"/>
      <c r="BH612" s="11"/>
      <c r="BI612" s="11"/>
      <c r="BJ612" s="11"/>
      <c r="BK612" s="11"/>
      <c r="BL612" s="11"/>
      <c r="BM612" s="11"/>
      <c r="BN612" s="11"/>
      <c r="BO612" s="11"/>
      <c r="BP612" s="11"/>
      <c r="BQ612" s="11"/>
      <c r="BR612" s="11"/>
      <c r="BS612" s="11"/>
      <c r="BT612" s="11"/>
      <c r="BU612" s="11"/>
      <c r="BV612" s="11"/>
      <c r="BW612" s="11"/>
      <c r="BX612" s="11"/>
      <c r="BY612" s="11"/>
      <c r="BZ612" s="11"/>
      <c r="CA612" s="11"/>
      <c r="CB612" s="11"/>
      <c r="CC612" s="17"/>
      <c r="CD612" s="17"/>
      <c r="CE612" s="11"/>
      <c r="CF612" s="13"/>
      <c r="CG612" s="13"/>
      <c r="CH612" s="13"/>
      <c r="CI612" s="13"/>
      <c r="CJ612" s="13"/>
    </row>
    <row r="613" spans="1:88" s="9" customFormat="1" x14ac:dyDescent="0.25">
      <c r="A613" s="10"/>
      <c r="B613" s="10"/>
      <c r="C613" s="10"/>
      <c r="D613" s="10"/>
      <c r="E613" s="11"/>
      <c r="F613" s="10"/>
      <c r="G613" s="10"/>
      <c r="H613" s="10"/>
      <c r="I613" s="10"/>
      <c r="J613" s="10"/>
      <c r="K613" s="12"/>
      <c r="L613" s="10"/>
      <c r="M613" s="10"/>
      <c r="N613" s="13"/>
      <c r="O613" s="10"/>
      <c r="P613" s="10"/>
      <c r="Q613" s="10"/>
      <c r="R613" s="18"/>
      <c r="S613" s="10"/>
      <c r="T613" s="10"/>
      <c r="U613" s="13"/>
      <c r="V613" s="13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3"/>
      <c r="AL613" s="14"/>
      <c r="AM613" s="15"/>
      <c r="AN613" s="15"/>
      <c r="AO613" s="13"/>
      <c r="AP613" s="13"/>
      <c r="AQ613" s="16"/>
      <c r="AR613" s="10"/>
      <c r="AS613" s="10"/>
      <c r="AT613" s="10"/>
      <c r="AU613" s="10"/>
      <c r="AV613" s="11"/>
      <c r="AW613" s="11"/>
      <c r="AX613" s="10"/>
      <c r="AY613" s="11"/>
      <c r="AZ613" s="11"/>
      <c r="BA613" s="11"/>
      <c r="BB613" s="10"/>
      <c r="BC613" s="11"/>
      <c r="BD613" s="11"/>
      <c r="BE613" s="11"/>
      <c r="BF613" s="11"/>
      <c r="BG613" s="11"/>
      <c r="BH613" s="11"/>
      <c r="BI613" s="11"/>
      <c r="BJ613" s="11"/>
      <c r="BK613" s="11"/>
      <c r="BL613" s="11"/>
      <c r="BM613" s="11"/>
      <c r="BN613" s="11"/>
      <c r="BO613" s="11"/>
      <c r="BP613" s="11"/>
      <c r="BQ613" s="11"/>
      <c r="BR613" s="11"/>
      <c r="BS613" s="11"/>
      <c r="BT613" s="11"/>
      <c r="BU613" s="11"/>
      <c r="BV613" s="11"/>
      <c r="BW613" s="11"/>
      <c r="BX613" s="11"/>
      <c r="BY613" s="11"/>
      <c r="BZ613" s="11"/>
      <c r="CA613" s="11"/>
      <c r="CB613" s="11"/>
      <c r="CC613" s="17"/>
      <c r="CD613" s="17"/>
      <c r="CE613" s="11"/>
      <c r="CF613" s="13"/>
      <c r="CG613" s="13"/>
      <c r="CH613" s="13"/>
      <c r="CI613" s="13"/>
      <c r="CJ613" s="13"/>
    </row>
    <row r="614" spans="1:88" s="9" customFormat="1" x14ac:dyDescent="0.25">
      <c r="A614" s="10"/>
      <c r="B614" s="10"/>
      <c r="C614" s="10"/>
      <c r="D614" s="10"/>
      <c r="E614" s="11"/>
      <c r="F614" s="10"/>
      <c r="G614" s="10"/>
      <c r="H614" s="10"/>
      <c r="I614" s="10"/>
      <c r="J614" s="10"/>
      <c r="K614" s="12"/>
      <c r="L614" s="10"/>
      <c r="M614" s="10"/>
      <c r="N614" s="13"/>
      <c r="O614" s="10"/>
      <c r="P614" s="10"/>
      <c r="Q614" s="10"/>
      <c r="R614" s="18"/>
      <c r="S614" s="10"/>
      <c r="T614" s="10"/>
      <c r="U614" s="13"/>
      <c r="V614" s="13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3"/>
      <c r="AL614" s="14"/>
      <c r="AM614" s="15"/>
      <c r="AN614" s="15"/>
      <c r="AO614" s="13"/>
      <c r="AP614" s="13"/>
      <c r="AQ614" s="16"/>
      <c r="AR614" s="10"/>
      <c r="AS614" s="10"/>
      <c r="AT614" s="10"/>
      <c r="AU614" s="10"/>
      <c r="AV614" s="11"/>
      <c r="AW614" s="11"/>
      <c r="AX614" s="10"/>
      <c r="AY614" s="11"/>
      <c r="AZ614" s="11"/>
      <c r="BA614" s="11"/>
      <c r="BB614" s="10"/>
      <c r="BC614" s="11"/>
      <c r="BD614" s="11"/>
      <c r="BE614" s="11"/>
      <c r="BF614" s="11"/>
      <c r="BG614" s="11"/>
      <c r="BH614" s="11"/>
      <c r="BI614" s="11"/>
      <c r="BJ614" s="11"/>
      <c r="BK614" s="11"/>
      <c r="BL614" s="11"/>
      <c r="BM614" s="11"/>
      <c r="BN614" s="11"/>
      <c r="BO614" s="11"/>
      <c r="BP614" s="11"/>
      <c r="BQ614" s="11"/>
      <c r="BR614" s="11"/>
      <c r="BS614" s="11"/>
      <c r="BT614" s="11"/>
      <c r="BU614" s="11"/>
      <c r="BV614" s="11"/>
      <c r="BW614" s="11"/>
      <c r="BX614" s="11"/>
      <c r="BY614" s="11"/>
      <c r="BZ614" s="11"/>
      <c r="CA614" s="11"/>
      <c r="CB614" s="11"/>
      <c r="CC614" s="17"/>
      <c r="CD614" s="17"/>
      <c r="CE614" s="11"/>
      <c r="CF614" s="13"/>
      <c r="CG614" s="13"/>
      <c r="CH614" s="13"/>
      <c r="CI614" s="13"/>
      <c r="CJ614" s="13"/>
    </row>
    <row r="615" spans="1:88" s="9" customFormat="1" x14ac:dyDescent="0.25">
      <c r="A615" s="10"/>
      <c r="B615" s="10"/>
      <c r="C615" s="10"/>
      <c r="D615" s="10"/>
      <c r="E615" s="11"/>
      <c r="F615" s="10"/>
      <c r="G615" s="10"/>
      <c r="H615" s="10"/>
      <c r="I615" s="10"/>
      <c r="J615" s="10"/>
      <c r="K615" s="12"/>
      <c r="L615" s="10"/>
      <c r="M615" s="10"/>
      <c r="N615" s="13"/>
      <c r="O615" s="10"/>
      <c r="P615" s="10"/>
      <c r="Q615" s="10"/>
      <c r="R615" s="18"/>
      <c r="S615" s="10"/>
      <c r="T615" s="10"/>
      <c r="U615" s="13"/>
      <c r="V615" s="13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3"/>
      <c r="AL615" s="14"/>
      <c r="AM615" s="15"/>
      <c r="AN615" s="15"/>
      <c r="AO615" s="13"/>
      <c r="AP615" s="13"/>
      <c r="AQ615" s="16"/>
      <c r="AR615" s="10"/>
      <c r="AS615" s="10"/>
      <c r="AT615" s="10"/>
      <c r="AU615" s="10"/>
      <c r="AV615" s="11"/>
      <c r="AW615" s="11"/>
      <c r="AX615" s="10"/>
      <c r="AY615" s="11"/>
      <c r="AZ615" s="11"/>
      <c r="BA615" s="11"/>
      <c r="BB615" s="10"/>
      <c r="BC615" s="11"/>
      <c r="BD615" s="11"/>
      <c r="BE615" s="11"/>
      <c r="BF615" s="11"/>
      <c r="BG615" s="11"/>
      <c r="BH615" s="11"/>
      <c r="BI615" s="11"/>
      <c r="BJ615" s="11"/>
      <c r="BK615" s="11"/>
      <c r="BL615" s="11"/>
      <c r="BM615" s="11"/>
      <c r="BN615" s="11"/>
      <c r="BO615" s="11"/>
      <c r="BP615" s="11"/>
      <c r="BQ615" s="11"/>
      <c r="BR615" s="11"/>
      <c r="BS615" s="11"/>
      <c r="BT615" s="11"/>
      <c r="BU615" s="11"/>
      <c r="BV615" s="11"/>
      <c r="BW615" s="11"/>
      <c r="BX615" s="11"/>
      <c r="BY615" s="11"/>
      <c r="BZ615" s="11"/>
      <c r="CA615" s="11"/>
      <c r="CB615" s="11"/>
      <c r="CC615" s="17"/>
      <c r="CD615" s="17"/>
      <c r="CE615" s="11"/>
      <c r="CF615" s="13"/>
      <c r="CG615" s="13"/>
      <c r="CH615" s="13"/>
      <c r="CI615" s="13"/>
      <c r="CJ615" s="13"/>
    </row>
    <row r="616" spans="1:88" s="9" customFormat="1" x14ac:dyDescent="0.25">
      <c r="A616" s="10"/>
      <c r="B616" s="10"/>
      <c r="C616" s="10"/>
      <c r="D616" s="10"/>
      <c r="E616" s="11"/>
      <c r="F616" s="10"/>
      <c r="G616" s="10"/>
      <c r="H616" s="10"/>
      <c r="I616" s="10"/>
      <c r="J616" s="10"/>
      <c r="K616" s="12"/>
      <c r="L616" s="10"/>
      <c r="M616" s="10"/>
      <c r="N616" s="13"/>
      <c r="O616" s="10"/>
      <c r="P616" s="10"/>
      <c r="Q616" s="10"/>
      <c r="R616" s="18"/>
      <c r="S616" s="10"/>
      <c r="T616" s="10"/>
      <c r="U616" s="13"/>
      <c r="V616" s="13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3"/>
      <c r="AL616" s="14"/>
      <c r="AM616" s="15"/>
      <c r="AN616" s="15"/>
      <c r="AO616" s="13"/>
      <c r="AP616" s="13"/>
      <c r="AQ616" s="16"/>
      <c r="AR616" s="10"/>
      <c r="AS616" s="10"/>
      <c r="AT616" s="10"/>
      <c r="AU616" s="10"/>
      <c r="AV616" s="11"/>
      <c r="AW616" s="11"/>
      <c r="AX616" s="10"/>
      <c r="AY616" s="11"/>
      <c r="AZ616" s="11"/>
      <c r="BA616" s="11"/>
      <c r="BB616" s="10"/>
      <c r="BC616" s="11"/>
      <c r="BD616" s="11"/>
      <c r="BE616" s="11"/>
      <c r="BF616" s="11"/>
      <c r="BG616" s="11"/>
      <c r="BH616" s="11"/>
      <c r="BI616" s="11"/>
      <c r="BJ616" s="11"/>
      <c r="BK616" s="11"/>
      <c r="BL616" s="11"/>
      <c r="BM616" s="11"/>
      <c r="BN616" s="11"/>
      <c r="BO616" s="11"/>
      <c r="BP616" s="11"/>
      <c r="BQ616" s="11"/>
      <c r="BR616" s="11"/>
      <c r="BS616" s="11"/>
      <c r="BT616" s="11"/>
      <c r="BU616" s="11"/>
      <c r="BV616" s="11"/>
      <c r="BW616" s="11"/>
      <c r="BX616" s="11"/>
      <c r="BY616" s="11"/>
      <c r="BZ616" s="11"/>
      <c r="CA616" s="11"/>
      <c r="CB616" s="11"/>
      <c r="CC616" s="17"/>
      <c r="CD616" s="17"/>
      <c r="CE616" s="11"/>
      <c r="CF616" s="13"/>
      <c r="CG616" s="13"/>
      <c r="CH616" s="13"/>
      <c r="CI616" s="13"/>
      <c r="CJ616" s="13"/>
    </row>
    <row r="617" spans="1:88" s="9" customFormat="1" x14ac:dyDescent="0.25">
      <c r="A617" s="10"/>
      <c r="B617" s="10"/>
      <c r="C617" s="10"/>
      <c r="D617" s="10"/>
      <c r="E617" s="11"/>
      <c r="F617" s="10"/>
      <c r="G617" s="10"/>
      <c r="H617" s="10"/>
      <c r="I617" s="10"/>
      <c r="J617" s="10"/>
      <c r="K617" s="12"/>
      <c r="L617" s="10"/>
      <c r="M617" s="10"/>
      <c r="N617" s="13"/>
      <c r="O617" s="10"/>
      <c r="P617" s="10"/>
      <c r="Q617" s="10"/>
      <c r="R617" s="18"/>
      <c r="S617" s="10"/>
      <c r="T617" s="10"/>
      <c r="U617" s="13"/>
      <c r="V617" s="13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3"/>
      <c r="AL617" s="14"/>
      <c r="AM617" s="15"/>
      <c r="AN617" s="15"/>
      <c r="AO617" s="13"/>
      <c r="AP617" s="13"/>
      <c r="AQ617" s="16"/>
      <c r="AR617" s="10"/>
      <c r="AS617" s="10"/>
      <c r="AT617" s="10"/>
      <c r="AU617" s="10"/>
      <c r="AV617" s="11"/>
      <c r="AW617" s="11"/>
      <c r="AX617" s="10"/>
      <c r="AY617" s="11"/>
      <c r="AZ617" s="11"/>
      <c r="BA617" s="11"/>
      <c r="BB617" s="10"/>
      <c r="BC617" s="11"/>
      <c r="BD617" s="11"/>
      <c r="BE617" s="11"/>
      <c r="BF617" s="11"/>
      <c r="BG617" s="11"/>
      <c r="BH617" s="11"/>
      <c r="BI617" s="11"/>
      <c r="BJ617" s="11"/>
      <c r="BK617" s="11"/>
      <c r="BL617" s="11"/>
      <c r="BM617" s="11"/>
      <c r="BN617" s="11"/>
      <c r="BO617" s="11"/>
      <c r="BP617" s="11"/>
      <c r="BQ617" s="11"/>
      <c r="BR617" s="11"/>
      <c r="BS617" s="11"/>
      <c r="BT617" s="11"/>
      <c r="BU617" s="11"/>
      <c r="BV617" s="11"/>
      <c r="BW617" s="11"/>
      <c r="BX617" s="11"/>
      <c r="BY617" s="11"/>
      <c r="BZ617" s="11"/>
      <c r="CA617" s="11"/>
      <c r="CB617" s="11"/>
      <c r="CC617" s="17"/>
      <c r="CD617" s="17"/>
      <c r="CE617" s="11"/>
      <c r="CF617" s="13"/>
      <c r="CG617" s="13"/>
      <c r="CH617" s="13"/>
      <c r="CI617" s="13"/>
      <c r="CJ617" s="13"/>
    </row>
    <row r="618" spans="1:88" s="9" customFormat="1" x14ac:dyDescent="0.25">
      <c r="A618" s="10"/>
      <c r="B618" s="10"/>
      <c r="C618" s="10"/>
      <c r="D618" s="10"/>
      <c r="E618" s="11"/>
      <c r="F618" s="10"/>
      <c r="G618" s="10"/>
      <c r="H618" s="10"/>
      <c r="I618" s="10"/>
      <c r="J618" s="10"/>
      <c r="K618" s="12"/>
      <c r="L618" s="10"/>
      <c r="M618" s="10"/>
      <c r="N618" s="13"/>
      <c r="O618" s="10"/>
      <c r="P618" s="10"/>
      <c r="Q618" s="10"/>
      <c r="R618" s="18"/>
      <c r="S618" s="10"/>
      <c r="T618" s="10"/>
      <c r="U618" s="13"/>
      <c r="V618" s="13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3"/>
      <c r="AL618" s="14"/>
      <c r="AM618" s="15"/>
      <c r="AN618" s="15"/>
      <c r="AO618" s="13"/>
      <c r="AP618" s="13"/>
      <c r="AQ618" s="16"/>
      <c r="AR618" s="10"/>
      <c r="AS618" s="10"/>
      <c r="AT618" s="10"/>
      <c r="AU618" s="10"/>
      <c r="AV618" s="11"/>
      <c r="AW618" s="11"/>
      <c r="AX618" s="10"/>
      <c r="AY618" s="11"/>
      <c r="AZ618" s="11"/>
      <c r="BA618" s="11"/>
      <c r="BB618" s="10"/>
      <c r="BC618" s="11"/>
      <c r="BD618" s="11"/>
      <c r="BE618" s="11"/>
      <c r="BF618" s="11"/>
      <c r="BG618" s="11"/>
      <c r="BH618" s="11"/>
      <c r="BI618" s="11"/>
      <c r="BJ618" s="11"/>
      <c r="BK618" s="11"/>
      <c r="BL618" s="11"/>
      <c r="BM618" s="11"/>
      <c r="BN618" s="11"/>
      <c r="BO618" s="11"/>
      <c r="BP618" s="11"/>
      <c r="BQ618" s="11"/>
      <c r="BR618" s="11"/>
      <c r="BS618" s="11"/>
      <c r="BT618" s="11"/>
      <c r="BU618" s="11"/>
      <c r="BV618" s="11"/>
      <c r="BW618" s="11"/>
      <c r="BX618" s="11"/>
      <c r="BY618" s="11"/>
      <c r="BZ618" s="11"/>
      <c r="CA618" s="11"/>
      <c r="CB618" s="11"/>
      <c r="CC618" s="17"/>
      <c r="CD618" s="17"/>
      <c r="CE618" s="11"/>
      <c r="CF618" s="13"/>
      <c r="CG618" s="13"/>
      <c r="CH618" s="13"/>
      <c r="CI618" s="13"/>
      <c r="CJ618" s="13"/>
    </row>
    <row r="619" spans="1:88" s="9" customFormat="1" x14ac:dyDescent="0.25">
      <c r="A619" s="10"/>
      <c r="B619" s="10"/>
      <c r="C619" s="10"/>
      <c r="D619" s="10"/>
      <c r="E619" s="11"/>
      <c r="F619" s="10"/>
      <c r="G619" s="10"/>
      <c r="H619" s="10"/>
      <c r="I619" s="10"/>
      <c r="J619" s="10"/>
      <c r="K619" s="12"/>
      <c r="L619" s="10"/>
      <c r="M619" s="10"/>
      <c r="N619" s="13"/>
      <c r="O619" s="10"/>
      <c r="P619" s="10"/>
      <c r="Q619" s="10"/>
      <c r="R619" s="18"/>
      <c r="S619" s="10"/>
      <c r="T619" s="10"/>
      <c r="U619" s="13"/>
      <c r="V619" s="13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3"/>
      <c r="AL619" s="14"/>
      <c r="AM619" s="15"/>
      <c r="AN619" s="15"/>
      <c r="AO619" s="13"/>
      <c r="AP619" s="13"/>
      <c r="AQ619" s="16"/>
      <c r="AR619" s="10"/>
      <c r="AS619" s="10"/>
      <c r="AT619" s="10"/>
      <c r="AU619" s="10"/>
      <c r="AV619" s="11"/>
      <c r="AW619" s="11"/>
      <c r="AX619" s="10"/>
      <c r="AY619" s="11"/>
      <c r="AZ619" s="11"/>
      <c r="BA619" s="11"/>
      <c r="BB619" s="10"/>
      <c r="BC619" s="11"/>
      <c r="BD619" s="11"/>
      <c r="BE619" s="11"/>
      <c r="BF619" s="11"/>
      <c r="BG619" s="11"/>
      <c r="BH619" s="11"/>
      <c r="BI619" s="11"/>
      <c r="BJ619" s="11"/>
      <c r="BK619" s="11"/>
      <c r="BL619" s="11"/>
      <c r="BM619" s="11"/>
      <c r="BN619" s="11"/>
      <c r="BO619" s="11"/>
      <c r="BP619" s="11"/>
      <c r="BQ619" s="11"/>
      <c r="BR619" s="11"/>
      <c r="BS619" s="11"/>
      <c r="BT619" s="11"/>
      <c r="BU619" s="11"/>
      <c r="BV619" s="11"/>
      <c r="BW619" s="11"/>
      <c r="BX619" s="11"/>
      <c r="BY619" s="11"/>
      <c r="BZ619" s="11"/>
      <c r="CA619" s="11"/>
      <c r="CB619" s="11"/>
      <c r="CC619" s="17"/>
      <c r="CD619" s="17"/>
      <c r="CE619" s="11"/>
      <c r="CF619" s="13"/>
      <c r="CG619" s="13"/>
      <c r="CH619" s="13"/>
      <c r="CI619" s="13"/>
      <c r="CJ619" s="13"/>
    </row>
    <row r="620" spans="1:88" s="9" customFormat="1" x14ac:dyDescent="0.25">
      <c r="A620" s="10"/>
      <c r="B620" s="10"/>
      <c r="C620" s="10"/>
      <c r="D620" s="10"/>
      <c r="E620" s="11"/>
      <c r="F620" s="10"/>
      <c r="G620" s="10"/>
      <c r="H620" s="10"/>
      <c r="I620" s="10"/>
      <c r="J620" s="10"/>
      <c r="K620" s="12"/>
      <c r="L620" s="10"/>
      <c r="M620" s="10"/>
      <c r="N620" s="13"/>
      <c r="O620" s="10"/>
      <c r="P620" s="10"/>
      <c r="Q620" s="10"/>
      <c r="R620" s="18"/>
      <c r="S620" s="10"/>
      <c r="T620" s="10"/>
      <c r="U620" s="13"/>
      <c r="V620" s="13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3"/>
      <c r="AL620" s="14"/>
      <c r="AM620" s="15"/>
      <c r="AN620" s="15"/>
      <c r="AO620" s="13"/>
      <c r="AP620" s="13"/>
      <c r="AQ620" s="16"/>
      <c r="AR620" s="10"/>
      <c r="AS620" s="10"/>
      <c r="AT620" s="10"/>
      <c r="AU620" s="10"/>
      <c r="AV620" s="11"/>
      <c r="AW620" s="11"/>
      <c r="AX620" s="10"/>
      <c r="AY620" s="11"/>
      <c r="AZ620" s="11"/>
      <c r="BA620" s="11"/>
      <c r="BB620" s="10"/>
      <c r="BC620" s="11"/>
      <c r="BD620" s="11"/>
      <c r="BE620" s="11"/>
      <c r="BF620" s="11"/>
      <c r="BG620" s="11"/>
      <c r="BH620" s="11"/>
      <c r="BI620" s="11"/>
      <c r="BJ620" s="11"/>
      <c r="BK620" s="11"/>
      <c r="BL620" s="11"/>
      <c r="BM620" s="11"/>
      <c r="BN620" s="11"/>
      <c r="BO620" s="11"/>
      <c r="BP620" s="11"/>
      <c r="BQ620" s="11"/>
      <c r="BR620" s="11"/>
      <c r="BS620" s="11"/>
      <c r="BT620" s="11"/>
      <c r="BU620" s="11"/>
      <c r="BV620" s="11"/>
      <c r="BW620" s="11"/>
      <c r="BX620" s="11"/>
      <c r="BY620" s="11"/>
      <c r="BZ620" s="11"/>
      <c r="CA620" s="11"/>
      <c r="CB620" s="11"/>
      <c r="CC620" s="17"/>
      <c r="CD620" s="17"/>
      <c r="CE620" s="11"/>
      <c r="CF620" s="13"/>
      <c r="CG620" s="13"/>
      <c r="CH620" s="13"/>
      <c r="CI620" s="13"/>
      <c r="CJ620" s="13"/>
    </row>
    <row r="621" spans="1:88" s="9" customFormat="1" x14ac:dyDescent="0.25">
      <c r="A621" s="10"/>
      <c r="B621" s="10"/>
      <c r="C621" s="10"/>
      <c r="D621" s="10"/>
      <c r="E621" s="11"/>
      <c r="F621" s="10"/>
      <c r="G621" s="10"/>
      <c r="H621" s="10"/>
      <c r="I621" s="10"/>
      <c r="J621" s="10"/>
      <c r="K621" s="12"/>
      <c r="L621" s="10"/>
      <c r="M621" s="10"/>
      <c r="N621" s="13"/>
      <c r="O621" s="10"/>
      <c r="P621" s="10"/>
      <c r="Q621" s="10"/>
      <c r="R621" s="18"/>
      <c r="S621" s="10"/>
      <c r="T621" s="10"/>
      <c r="U621" s="13"/>
      <c r="V621" s="13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3"/>
      <c r="AL621" s="14"/>
      <c r="AM621" s="15"/>
      <c r="AN621" s="15"/>
      <c r="AO621" s="13"/>
      <c r="AP621" s="13"/>
      <c r="AQ621" s="16"/>
      <c r="AR621" s="10"/>
      <c r="AS621" s="10"/>
      <c r="AT621" s="10"/>
      <c r="AU621" s="10"/>
      <c r="AV621" s="11"/>
      <c r="AW621" s="11"/>
      <c r="AX621" s="10"/>
      <c r="AY621" s="11"/>
      <c r="AZ621" s="11"/>
      <c r="BA621" s="11"/>
      <c r="BB621" s="10"/>
      <c r="BC621" s="11"/>
      <c r="BD621" s="11"/>
      <c r="BE621" s="11"/>
      <c r="BF621" s="11"/>
      <c r="BG621" s="11"/>
      <c r="BH621" s="11"/>
      <c r="BI621" s="11"/>
      <c r="BJ621" s="11"/>
      <c r="BK621" s="11"/>
      <c r="BL621" s="11"/>
      <c r="BM621" s="11"/>
      <c r="BN621" s="11"/>
      <c r="BO621" s="11"/>
      <c r="BP621" s="11"/>
      <c r="BQ621" s="11"/>
      <c r="BR621" s="11"/>
      <c r="BS621" s="11"/>
      <c r="BT621" s="11"/>
      <c r="BU621" s="11"/>
      <c r="BV621" s="11"/>
      <c r="BW621" s="11"/>
      <c r="BX621" s="11"/>
      <c r="BY621" s="11"/>
      <c r="BZ621" s="11"/>
      <c r="CA621" s="11"/>
      <c r="CB621" s="11"/>
      <c r="CC621" s="17"/>
      <c r="CD621" s="17"/>
      <c r="CE621" s="11"/>
      <c r="CF621" s="13"/>
      <c r="CG621" s="13"/>
      <c r="CH621" s="13"/>
      <c r="CI621" s="13"/>
      <c r="CJ621" s="13"/>
    </row>
    <row r="622" spans="1:88" s="9" customFormat="1" x14ac:dyDescent="0.25">
      <c r="A622" s="10"/>
      <c r="B622" s="10"/>
      <c r="C622" s="10"/>
      <c r="D622" s="10"/>
      <c r="E622" s="11"/>
      <c r="F622" s="10"/>
      <c r="G622" s="10"/>
      <c r="H622" s="10"/>
      <c r="I622" s="10"/>
      <c r="J622" s="10"/>
      <c r="K622" s="12"/>
      <c r="L622" s="10"/>
      <c r="M622" s="10"/>
      <c r="N622" s="13"/>
      <c r="O622" s="10"/>
      <c r="P622" s="10"/>
      <c r="Q622" s="10"/>
      <c r="R622" s="18"/>
      <c r="S622" s="10"/>
      <c r="T622" s="10"/>
      <c r="U622" s="13"/>
      <c r="V622" s="13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3"/>
      <c r="AL622" s="14"/>
      <c r="AM622" s="15"/>
      <c r="AN622" s="15"/>
      <c r="AO622" s="13"/>
      <c r="AP622" s="13"/>
      <c r="AQ622" s="16"/>
      <c r="AR622" s="10"/>
      <c r="AS622" s="10"/>
      <c r="AT622" s="10"/>
      <c r="AU622" s="10"/>
      <c r="AV622" s="11"/>
      <c r="AW622" s="11"/>
      <c r="AX622" s="10"/>
      <c r="AY622" s="11"/>
      <c r="AZ622" s="11"/>
      <c r="BA622" s="11"/>
      <c r="BB622" s="10"/>
      <c r="BC622" s="11"/>
      <c r="BD622" s="11"/>
      <c r="BE622" s="11"/>
      <c r="BF622" s="11"/>
      <c r="BG622" s="11"/>
      <c r="BH622" s="11"/>
      <c r="BI622" s="11"/>
      <c r="BJ622" s="11"/>
      <c r="BK622" s="11"/>
      <c r="BL622" s="11"/>
      <c r="BM622" s="11"/>
      <c r="BN622" s="11"/>
      <c r="BO622" s="11"/>
      <c r="BP622" s="11"/>
      <c r="BQ622" s="11"/>
      <c r="BR622" s="11"/>
      <c r="BS622" s="11"/>
      <c r="BT622" s="11"/>
      <c r="BU622" s="11"/>
      <c r="BV622" s="11"/>
      <c r="BW622" s="11"/>
      <c r="BX622" s="11"/>
      <c r="BY622" s="11"/>
      <c r="BZ622" s="11"/>
      <c r="CA622" s="11"/>
      <c r="CB622" s="11"/>
      <c r="CC622" s="17"/>
      <c r="CD622" s="17"/>
      <c r="CE622" s="11"/>
      <c r="CF622" s="13"/>
      <c r="CG622" s="13"/>
      <c r="CH622" s="13"/>
      <c r="CI622" s="13"/>
      <c r="CJ622" s="13"/>
    </row>
    <row r="623" spans="1:88" s="9" customFormat="1" x14ac:dyDescent="0.25">
      <c r="A623" s="10"/>
      <c r="B623" s="10"/>
      <c r="C623" s="10"/>
      <c r="D623" s="10"/>
      <c r="E623" s="11"/>
      <c r="F623" s="10"/>
      <c r="G623" s="10"/>
      <c r="H623" s="10"/>
      <c r="I623" s="10"/>
      <c r="J623" s="10"/>
      <c r="K623" s="12"/>
      <c r="L623" s="10"/>
      <c r="M623" s="10"/>
      <c r="N623" s="13"/>
      <c r="O623" s="10"/>
      <c r="P623" s="10"/>
      <c r="Q623" s="10"/>
      <c r="R623" s="18"/>
      <c r="S623" s="10"/>
      <c r="T623" s="10"/>
      <c r="U623" s="13"/>
      <c r="V623" s="13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3"/>
      <c r="AL623" s="14"/>
      <c r="AM623" s="15"/>
      <c r="AN623" s="15"/>
      <c r="AO623" s="13"/>
      <c r="AP623" s="13"/>
      <c r="AQ623" s="16"/>
      <c r="AR623" s="10"/>
      <c r="AS623" s="10"/>
      <c r="AT623" s="10"/>
      <c r="AU623" s="10"/>
      <c r="AV623" s="11"/>
      <c r="AW623" s="11"/>
      <c r="AX623" s="10"/>
      <c r="AY623" s="11"/>
      <c r="AZ623" s="11"/>
      <c r="BA623" s="11"/>
      <c r="BB623" s="10"/>
      <c r="BC623" s="11"/>
      <c r="BD623" s="11"/>
      <c r="BE623" s="11"/>
      <c r="BF623" s="11"/>
      <c r="BG623" s="11"/>
      <c r="BH623" s="11"/>
      <c r="BI623" s="11"/>
      <c r="BJ623" s="11"/>
      <c r="BK623" s="11"/>
      <c r="BL623" s="11"/>
      <c r="BM623" s="11"/>
      <c r="BN623" s="11"/>
      <c r="BO623" s="11"/>
      <c r="BP623" s="11"/>
      <c r="BQ623" s="11"/>
      <c r="BR623" s="11"/>
      <c r="BS623" s="11"/>
      <c r="BT623" s="11"/>
      <c r="BU623" s="11"/>
      <c r="BV623" s="11"/>
      <c r="BW623" s="11"/>
      <c r="BX623" s="11"/>
      <c r="BY623" s="11"/>
      <c r="BZ623" s="11"/>
      <c r="CA623" s="11"/>
      <c r="CB623" s="11"/>
      <c r="CC623" s="17"/>
      <c r="CD623" s="17"/>
      <c r="CE623" s="11"/>
      <c r="CF623" s="13"/>
      <c r="CG623" s="13"/>
      <c r="CH623" s="13"/>
      <c r="CI623" s="13"/>
      <c r="CJ623" s="13"/>
    </row>
    <row r="624" spans="1:88" s="9" customFormat="1" x14ac:dyDescent="0.25">
      <c r="A624" s="10"/>
      <c r="B624" s="10"/>
      <c r="C624" s="10"/>
      <c r="D624" s="10"/>
      <c r="E624" s="11"/>
      <c r="F624" s="10"/>
      <c r="G624" s="10"/>
      <c r="H624" s="10"/>
      <c r="I624" s="10"/>
      <c r="J624" s="10"/>
      <c r="K624" s="12"/>
      <c r="L624" s="10"/>
      <c r="M624" s="10"/>
      <c r="N624" s="13"/>
      <c r="O624" s="10"/>
      <c r="P624" s="10"/>
      <c r="Q624" s="10"/>
      <c r="R624" s="18"/>
      <c r="S624" s="10"/>
      <c r="T624" s="10"/>
      <c r="U624" s="13"/>
      <c r="V624" s="13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3"/>
      <c r="AL624" s="14"/>
      <c r="AM624" s="15"/>
      <c r="AN624" s="15"/>
      <c r="AO624" s="13"/>
      <c r="AP624" s="13"/>
      <c r="AQ624" s="16"/>
      <c r="AR624" s="10"/>
      <c r="AS624" s="10"/>
      <c r="AT624" s="10"/>
      <c r="AU624" s="10"/>
      <c r="AV624" s="11"/>
      <c r="AW624" s="11"/>
      <c r="AX624" s="10"/>
      <c r="AY624" s="11"/>
      <c r="AZ624" s="11"/>
      <c r="BA624" s="11"/>
      <c r="BB624" s="10"/>
      <c r="BC624" s="11"/>
      <c r="BD624" s="11"/>
      <c r="BE624" s="11"/>
      <c r="BF624" s="11"/>
      <c r="BG624" s="11"/>
      <c r="BH624" s="11"/>
      <c r="BI624" s="11"/>
      <c r="BJ624" s="11"/>
      <c r="BK624" s="11"/>
      <c r="BL624" s="11"/>
      <c r="BM624" s="11"/>
      <c r="BN624" s="11"/>
      <c r="BO624" s="11"/>
      <c r="BP624" s="11"/>
      <c r="BQ624" s="11"/>
      <c r="BR624" s="11"/>
      <c r="BS624" s="11"/>
      <c r="BT624" s="11"/>
      <c r="BU624" s="11"/>
      <c r="BV624" s="11"/>
      <c r="BW624" s="11"/>
      <c r="BX624" s="11"/>
      <c r="BY624" s="11"/>
      <c r="BZ624" s="11"/>
      <c r="CA624" s="11"/>
      <c r="CB624" s="11"/>
      <c r="CC624" s="17"/>
      <c r="CD624" s="17"/>
      <c r="CE624" s="11"/>
      <c r="CF624" s="13"/>
      <c r="CG624" s="13"/>
      <c r="CH624" s="13"/>
      <c r="CI624" s="13"/>
      <c r="CJ624" s="13"/>
    </row>
    <row r="625" spans="1:88" s="9" customFormat="1" x14ac:dyDescent="0.25">
      <c r="A625" s="10"/>
      <c r="B625" s="10"/>
      <c r="C625" s="10"/>
      <c r="D625" s="10"/>
      <c r="E625" s="11"/>
      <c r="F625" s="10"/>
      <c r="G625" s="10"/>
      <c r="H625" s="10"/>
      <c r="I625" s="10"/>
      <c r="J625" s="10"/>
      <c r="K625" s="12"/>
      <c r="L625" s="10"/>
      <c r="M625" s="10"/>
      <c r="N625" s="13"/>
      <c r="O625" s="10"/>
      <c r="P625" s="10"/>
      <c r="Q625" s="10"/>
      <c r="R625" s="18"/>
      <c r="S625" s="10"/>
      <c r="T625" s="10"/>
      <c r="U625" s="13"/>
      <c r="V625" s="13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3"/>
      <c r="AL625" s="14"/>
      <c r="AM625" s="15"/>
      <c r="AN625" s="15"/>
      <c r="AO625" s="13"/>
      <c r="AP625" s="13"/>
      <c r="AQ625" s="16"/>
      <c r="AR625" s="10"/>
      <c r="AS625" s="10"/>
      <c r="AT625" s="10"/>
      <c r="AU625" s="10"/>
      <c r="AV625" s="11"/>
      <c r="AW625" s="11"/>
      <c r="AX625" s="10"/>
      <c r="AY625" s="11"/>
      <c r="AZ625" s="11"/>
      <c r="BA625" s="11"/>
      <c r="BB625" s="10"/>
      <c r="BC625" s="11"/>
      <c r="BD625" s="11"/>
      <c r="BE625" s="11"/>
      <c r="BF625" s="11"/>
      <c r="BG625" s="11"/>
      <c r="BH625" s="11"/>
      <c r="BI625" s="11"/>
      <c r="BJ625" s="11"/>
      <c r="BK625" s="11"/>
      <c r="BL625" s="11"/>
      <c r="BM625" s="11"/>
      <c r="BN625" s="11"/>
      <c r="BO625" s="11"/>
      <c r="BP625" s="11"/>
      <c r="BQ625" s="11"/>
      <c r="BR625" s="11"/>
      <c r="BS625" s="11"/>
      <c r="BT625" s="11"/>
      <c r="BU625" s="11"/>
      <c r="BV625" s="11"/>
      <c r="BW625" s="11"/>
      <c r="BX625" s="11"/>
      <c r="BY625" s="11"/>
      <c r="BZ625" s="11"/>
      <c r="CA625" s="11"/>
      <c r="CB625" s="11"/>
      <c r="CC625" s="17"/>
      <c r="CD625" s="17"/>
      <c r="CE625" s="11"/>
      <c r="CF625" s="13"/>
      <c r="CG625" s="13"/>
      <c r="CH625" s="13"/>
      <c r="CI625" s="13"/>
      <c r="CJ625" s="13"/>
    </row>
    <row r="626" spans="1:88" s="9" customFormat="1" x14ac:dyDescent="0.25">
      <c r="A626" s="10"/>
      <c r="B626" s="10"/>
      <c r="C626" s="10"/>
      <c r="D626" s="10"/>
      <c r="E626" s="11"/>
      <c r="F626" s="10"/>
      <c r="G626" s="10"/>
      <c r="H626" s="10"/>
      <c r="I626" s="10"/>
      <c r="J626" s="10"/>
      <c r="K626" s="12"/>
      <c r="L626" s="10"/>
      <c r="M626" s="10"/>
      <c r="N626" s="13"/>
      <c r="O626" s="10"/>
      <c r="P626" s="10"/>
      <c r="Q626" s="10"/>
      <c r="R626" s="18"/>
      <c r="S626" s="10"/>
      <c r="T626" s="10"/>
      <c r="U626" s="13"/>
      <c r="V626" s="13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3"/>
      <c r="AL626" s="14"/>
      <c r="AM626" s="15"/>
      <c r="AN626" s="15"/>
      <c r="AO626" s="13"/>
      <c r="AP626" s="13"/>
      <c r="AQ626" s="16"/>
      <c r="AR626" s="10"/>
      <c r="AS626" s="10"/>
      <c r="AT626" s="10"/>
      <c r="AU626" s="10"/>
      <c r="AV626" s="11"/>
      <c r="AW626" s="11"/>
      <c r="AX626" s="10"/>
      <c r="AY626" s="11"/>
      <c r="AZ626" s="11"/>
      <c r="BA626" s="11"/>
      <c r="BB626" s="10"/>
      <c r="BC626" s="11"/>
      <c r="BD626" s="11"/>
      <c r="BE626" s="11"/>
      <c r="BF626" s="11"/>
      <c r="BG626" s="11"/>
      <c r="BH626" s="11"/>
      <c r="BI626" s="11"/>
      <c r="BJ626" s="11"/>
      <c r="BK626" s="11"/>
      <c r="BL626" s="11"/>
      <c r="BM626" s="11"/>
      <c r="BN626" s="11"/>
      <c r="BO626" s="11"/>
      <c r="BP626" s="11"/>
      <c r="BQ626" s="11"/>
      <c r="BR626" s="11"/>
      <c r="BS626" s="11"/>
      <c r="BT626" s="11"/>
      <c r="BU626" s="11"/>
      <c r="BV626" s="11"/>
      <c r="BW626" s="11"/>
      <c r="BX626" s="11"/>
      <c r="BY626" s="11"/>
      <c r="BZ626" s="11"/>
      <c r="CA626" s="11"/>
      <c r="CB626" s="11"/>
      <c r="CC626" s="17"/>
      <c r="CD626" s="17"/>
      <c r="CE626" s="11"/>
      <c r="CF626" s="13"/>
      <c r="CG626" s="13"/>
      <c r="CH626" s="13"/>
      <c r="CI626" s="13"/>
      <c r="CJ626" s="13"/>
    </row>
    <row r="627" spans="1:88" s="9" customFormat="1" x14ac:dyDescent="0.25">
      <c r="A627" s="10"/>
      <c r="B627" s="10"/>
      <c r="C627" s="10"/>
      <c r="D627" s="10"/>
      <c r="E627" s="11"/>
      <c r="F627" s="10"/>
      <c r="G627" s="10"/>
      <c r="H627" s="10"/>
      <c r="I627" s="10"/>
      <c r="J627" s="10"/>
      <c r="K627" s="12"/>
      <c r="L627" s="10"/>
      <c r="M627" s="10"/>
      <c r="N627" s="13"/>
      <c r="O627" s="10"/>
      <c r="P627" s="10"/>
      <c r="Q627" s="10"/>
      <c r="R627" s="18"/>
      <c r="S627" s="10"/>
      <c r="T627" s="10"/>
      <c r="U627" s="13"/>
      <c r="V627" s="13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3"/>
      <c r="AL627" s="14"/>
      <c r="AM627" s="15"/>
      <c r="AN627" s="15"/>
      <c r="AO627" s="13"/>
      <c r="AP627" s="13"/>
      <c r="AQ627" s="16"/>
      <c r="AR627" s="10"/>
      <c r="AS627" s="10"/>
      <c r="AT627" s="10"/>
      <c r="AU627" s="10"/>
      <c r="AV627" s="11"/>
      <c r="AW627" s="11"/>
      <c r="AX627" s="10"/>
      <c r="AY627" s="11"/>
      <c r="AZ627" s="11"/>
      <c r="BA627" s="11"/>
      <c r="BB627" s="10"/>
      <c r="BC627" s="11"/>
      <c r="BD627" s="11"/>
      <c r="BE627" s="11"/>
      <c r="BF627" s="11"/>
      <c r="BG627" s="11"/>
      <c r="BH627" s="11"/>
      <c r="BI627" s="11"/>
      <c r="BJ627" s="11"/>
      <c r="BK627" s="11"/>
      <c r="BL627" s="11"/>
      <c r="BM627" s="11"/>
      <c r="BN627" s="11"/>
      <c r="BO627" s="11"/>
      <c r="BP627" s="11"/>
      <c r="BQ627" s="11"/>
      <c r="BR627" s="11"/>
      <c r="BS627" s="11"/>
      <c r="BT627" s="11"/>
      <c r="BU627" s="11"/>
      <c r="BV627" s="11"/>
      <c r="BW627" s="11"/>
      <c r="BX627" s="11"/>
      <c r="BY627" s="11"/>
      <c r="BZ627" s="11"/>
      <c r="CA627" s="11"/>
      <c r="CB627" s="11"/>
      <c r="CC627" s="17"/>
      <c r="CD627" s="17"/>
      <c r="CE627" s="11"/>
      <c r="CF627" s="13"/>
      <c r="CG627" s="13"/>
      <c r="CH627" s="13"/>
      <c r="CI627" s="13"/>
      <c r="CJ627" s="13"/>
    </row>
    <row r="628" spans="1:88" s="9" customFormat="1" x14ac:dyDescent="0.25">
      <c r="A628" s="10"/>
      <c r="B628" s="10"/>
      <c r="C628" s="10"/>
      <c r="D628" s="10"/>
      <c r="E628" s="11"/>
      <c r="F628" s="10"/>
      <c r="G628" s="10"/>
      <c r="H628" s="10"/>
      <c r="I628" s="10"/>
      <c r="J628" s="10"/>
      <c r="K628" s="12"/>
      <c r="L628" s="10"/>
      <c r="M628" s="10"/>
      <c r="N628" s="13"/>
      <c r="O628" s="10"/>
      <c r="P628" s="10"/>
      <c r="Q628" s="10"/>
      <c r="R628" s="18"/>
      <c r="S628" s="10"/>
      <c r="T628" s="10"/>
      <c r="U628" s="13"/>
      <c r="V628" s="13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3"/>
      <c r="AL628" s="14"/>
      <c r="AM628" s="15"/>
      <c r="AN628" s="15"/>
      <c r="AO628" s="13"/>
      <c r="AP628" s="13"/>
      <c r="AQ628" s="16"/>
      <c r="AR628" s="10"/>
      <c r="AS628" s="10"/>
      <c r="AT628" s="10"/>
      <c r="AU628" s="10"/>
      <c r="AV628" s="11"/>
      <c r="AW628" s="11"/>
      <c r="AX628" s="10"/>
      <c r="AY628" s="11"/>
      <c r="AZ628" s="11"/>
      <c r="BA628" s="11"/>
      <c r="BB628" s="10"/>
      <c r="BC628" s="11"/>
      <c r="BD628" s="11"/>
      <c r="BE628" s="11"/>
      <c r="BF628" s="11"/>
      <c r="BG628" s="11"/>
      <c r="BH628" s="11"/>
      <c r="BI628" s="11"/>
      <c r="BJ628" s="11"/>
      <c r="BK628" s="11"/>
      <c r="BL628" s="11"/>
      <c r="BM628" s="11"/>
      <c r="BN628" s="11"/>
      <c r="BO628" s="11"/>
      <c r="BP628" s="11"/>
      <c r="BQ628" s="11"/>
      <c r="BR628" s="11"/>
      <c r="BS628" s="11"/>
      <c r="BT628" s="11"/>
      <c r="BU628" s="11"/>
      <c r="BV628" s="11"/>
      <c r="BW628" s="11"/>
      <c r="BX628" s="11"/>
      <c r="BY628" s="11"/>
      <c r="BZ628" s="11"/>
      <c r="CA628" s="11"/>
      <c r="CB628" s="11"/>
      <c r="CC628" s="17"/>
      <c r="CD628" s="17"/>
      <c r="CE628" s="11"/>
      <c r="CF628" s="13"/>
      <c r="CG628" s="13"/>
      <c r="CH628" s="13"/>
      <c r="CI628" s="13"/>
      <c r="CJ628" s="13"/>
    </row>
    <row r="629" spans="1:88" s="9" customFormat="1" x14ac:dyDescent="0.25">
      <c r="A629" s="10"/>
      <c r="B629" s="10"/>
      <c r="C629" s="10"/>
      <c r="D629" s="10"/>
      <c r="E629" s="11"/>
      <c r="F629" s="10"/>
      <c r="G629" s="10"/>
      <c r="H629" s="10"/>
      <c r="I629" s="10"/>
      <c r="J629" s="10"/>
      <c r="K629" s="12"/>
      <c r="L629" s="10"/>
      <c r="M629" s="10"/>
      <c r="N629" s="13"/>
      <c r="O629" s="10"/>
      <c r="P629" s="10"/>
      <c r="Q629" s="10"/>
      <c r="R629" s="18"/>
      <c r="S629" s="10"/>
      <c r="T629" s="10"/>
      <c r="U629" s="13"/>
      <c r="V629" s="13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3"/>
      <c r="AL629" s="14"/>
      <c r="AM629" s="15"/>
      <c r="AN629" s="15"/>
      <c r="AO629" s="13"/>
      <c r="AP629" s="13"/>
      <c r="AQ629" s="16"/>
      <c r="AR629" s="10"/>
      <c r="AS629" s="10"/>
      <c r="AT629" s="10"/>
      <c r="AU629" s="10"/>
      <c r="AV629" s="11"/>
      <c r="AW629" s="11"/>
      <c r="AX629" s="10"/>
      <c r="AY629" s="11"/>
      <c r="AZ629" s="11"/>
      <c r="BA629" s="11"/>
      <c r="BB629" s="10"/>
      <c r="BC629" s="11"/>
      <c r="BD629" s="11"/>
      <c r="BE629" s="11"/>
      <c r="BF629" s="11"/>
      <c r="BG629" s="11"/>
      <c r="BH629" s="11"/>
      <c r="BI629" s="11"/>
      <c r="BJ629" s="11"/>
      <c r="BK629" s="11"/>
      <c r="BL629" s="11"/>
      <c r="BM629" s="11"/>
      <c r="BN629" s="11"/>
      <c r="BO629" s="11"/>
      <c r="BP629" s="11"/>
      <c r="BQ629" s="11"/>
      <c r="BR629" s="11"/>
      <c r="BS629" s="11"/>
      <c r="BT629" s="11"/>
      <c r="BU629" s="11"/>
      <c r="BV629" s="11"/>
      <c r="BW629" s="11"/>
      <c r="BX629" s="11"/>
      <c r="BY629" s="11"/>
      <c r="BZ629" s="11"/>
      <c r="CA629" s="11"/>
      <c r="CB629" s="11"/>
      <c r="CC629" s="17"/>
      <c r="CD629" s="17"/>
      <c r="CE629" s="11"/>
      <c r="CF629" s="13"/>
      <c r="CG629" s="13"/>
      <c r="CH629" s="13"/>
      <c r="CI629" s="13"/>
      <c r="CJ629" s="13"/>
    </row>
    <row r="630" spans="1:88" s="9" customFormat="1" x14ac:dyDescent="0.25">
      <c r="A630" s="10"/>
      <c r="B630" s="10"/>
      <c r="C630" s="10"/>
      <c r="D630" s="10"/>
      <c r="E630" s="11"/>
      <c r="F630" s="10"/>
      <c r="G630" s="10"/>
      <c r="H630" s="10"/>
      <c r="I630" s="10"/>
      <c r="J630" s="10"/>
      <c r="K630" s="12"/>
      <c r="L630" s="10"/>
      <c r="M630" s="10"/>
      <c r="N630" s="13"/>
      <c r="O630" s="10"/>
      <c r="P630" s="10"/>
      <c r="Q630" s="10"/>
      <c r="R630" s="18"/>
      <c r="S630" s="10"/>
      <c r="T630" s="10"/>
      <c r="U630" s="13"/>
      <c r="V630" s="13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3"/>
      <c r="AL630" s="14"/>
      <c r="AM630" s="15"/>
      <c r="AN630" s="15"/>
      <c r="AO630" s="13"/>
      <c r="AP630" s="13"/>
      <c r="AQ630" s="16"/>
      <c r="AR630" s="10"/>
      <c r="AS630" s="10"/>
      <c r="AT630" s="10"/>
      <c r="AU630" s="10"/>
      <c r="AV630" s="11"/>
      <c r="AW630" s="11"/>
      <c r="AX630" s="10"/>
      <c r="AY630" s="11"/>
      <c r="AZ630" s="11"/>
      <c r="BA630" s="11"/>
      <c r="BB630" s="10"/>
      <c r="BC630" s="11"/>
      <c r="BD630" s="11"/>
      <c r="BE630" s="11"/>
      <c r="BF630" s="11"/>
      <c r="BG630" s="11"/>
      <c r="BH630" s="11"/>
      <c r="BI630" s="11"/>
      <c r="BJ630" s="11"/>
      <c r="BK630" s="11"/>
      <c r="BL630" s="11"/>
      <c r="BM630" s="11"/>
      <c r="BN630" s="11"/>
      <c r="BO630" s="11"/>
      <c r="BP630" s="11"/>
      <c r="BQ630" s="11"/>
      <c r="BR630" s="11"/>
      <c r="BS630" s="11"/>
      <c r="BT630" s="11"/>
      <c r="BU630" s="11"/>
      <c r="BV630" s="11"/>
      <c r="BW630" s="11"/>
      <c r="BX630" s="11"/>
      <c r="BY630" s="11"/>
      <c r="BZ630" s="11"/>
      <c r="CA630" s="11"/>
      <c r="CB630" s="11"/>
      <c r="CC630" s="17"/>
      <c r="CD630" s="17"/>
      <c r="CE630" s="11"/>
      <c r="CF630" s="13"/>
      <c r="CG630" s="13"/>
      <c r="CH630" s="13"/>
      <c r="CI630" s="13"/>
      <c r="CJ630" s="13"/>
    </row>
    <row r="631" spans="1:88" s="9" customFormat="1" x14ac:dyDescent="0.25">
      <c r="A631" s="10"/>
      <c r="B631" s="10"/>
      <c r="C631" s="10"/>
      <c r="D631" s="10"/>
      <c r="E631" s="11"/>
      <c r="F631" s="10"/>
      <c r="G631" s="10"/>
      <c r="H631" s="10"/>
      <c r="I631" s="10"/>
      <c r="J631" s="10"/>
      <c r="K631" s="12"/>
      <c r="L631" s="10"/>
      <c r="M631" s="10"/>
      <c r="N631" s="13"/>
      <c r="O631" s="10"/>
      <c r="P631" s="10"/>
      <c r="Q631" s="10"/>
      <c r="R631" s="18"/>
      <c r="S631" s="10"/>
      <c r="T631" s="10"/>
      <c r="U631" s="13"/>
      <c r="V631" s="13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3"/>
      <c r="AL631" s="14"/>
      <c r="AM631" s="15"/>
      <c r="AN631" s="15"/>
      <c r="AO631" s="13"/>
      <c r="AP631" s="13"/>
      <c r="AQ631" s="16"/>
      <c r="AR631" s="10"/>
      <c r="AS631" s="10"/>
      <c r="AT631" s="10"/>
      <c r="AU631" s="10"/>
      <c r="AV631" s="11"/>
      <c r="AW631" s="11"/>
      <c r="AX631" s="10"/>
      <c r="AY631" s="11"/>
      <c r="AZ631" s="11"/>
      <c r="BA631" s="11"/>
      <c r="BB631" s="10"/>
      <c r="BC631" s="11"/>
      <c r="BD631" s="11"/>
      <c r="BE631" s="11"/>
      <c r="BF631" s="11"/>
      <c r="BG631" s="11"/>
      <c r="BH631" s="11"/>
      <c r="BI631" s="11"/>
      <c r="BJ631" s="11"/>
      <c r="BK631" s="11"/>
      <c r="BL631" s="11"/>
      <c r="BM631" s="11"/>
      <c r="BN631" s="11"/>
      <c r="BO631" s="11"/>
      <c r="BP631" s="11"/>
      <c r="BQ631" s="11"/>
      <c r="BR631" s="11"/>
      <c r="BS631" s="11"/>
      <c r="BT631" s="11"/>
      <c r="BU631" s="11"/>
      <c r="BV631" s="11"/>
      <c r="BW631" s="11"/>
      <c r="BX631" s="11"/>
      <c r="BY631" s="11"/>
      <c r="BZ631" s="11"/>
      <c r="CA631" s="11"/>
      <c r="CB631" s="11"/>
      <c r="CC631" s="17"/>
      <c r="CD631" s="17"/>
      <c r="CE631" s="11"/>
      <c r="CF631" s="13"/>
      <c r="CG631" s="13"/>
      <c r="CH631" s="13"/>
      <c r="CI631" s="13"/>
      <c r="CJ631" s="13"/>
    </row>
    <row r="632" spans="1:88" s="9" customFormat="1" x14ac:dyDescent="0.25">
      <c r="A632" s="10"/>
      <c r="B632" s="10"/>
      <c r="C632" s="10"/>
      <c r="D632" s="10"/>
      <c r="E632" s="11"/>
      <c r="F632" s="10"/>
      <c r="G632" s="10"/>
      <c r="H632" s="10"/>
      <c r="I632" s="10"/>
      <c r="J632" s="10"/>
      <c r="K632" s="12"/>
      <c r="L632" s="10"/>
      <c r="M632" s="10"/>
      <c r="N632" s="13"/>
      <c r="O632" s="10"/>
      <c r="P632" s="10"/>
      <c r="Q632" s="10"/>
      <c r="R632" s="18"/>
      <c r="S632" s="10"/>
      <c r="T632" s="10"/>
      <c r="U632" s="13"/>
      <c r="V632" s="13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3"/>
      <c r="AL632" s="14"/>
      <c r="AM632" s="15"/>
      <c r="AN632" s="15"/>
      <c r="AO632" s="13"/>
      <c r="AP632" s="13"/>
      <c r="AQ632" s="16"/>
      <c r="AR632" s="10"/>
      <c r="AS632" s="10"/>
      <c r="AT632" s="10"/>
      <c r="AU632" s="10"/>
      <c r="AV632" s="11"/>
      <c r="AW632" s="11"/>
      <c r="AX632" s="10"/>
      <c r="AY632" s="11"/>
      <c r="AZ632" s="11"/>
      <c r="BA632" s="11"/>
      <c r="BB632" s="10"/>
      <c r="BC632" s="11"/>
      <c r="BD632" s="11"/>
      <c r="BE632" s="11"/>
      <c r="BF632" s="11"/>
      <c r="BG632" s="11"/>
      <c r="BH632" s="11"/>
      <c r="BI632" s="11"/>
      <c r="BJ632" s="11"/>
      <c r="BK632" s="11"/>
      <c r="BL632" s="11"/>
      <c r="BM632" s="11"/>
      <c r="BN632" s="11"/>
      <c r="BO632" s="11"/>
      <c r="BP632" s="11"/>
      <c r="BQ632" s="11"/>
      <c r="BR632" s="11"/>
      <c r="BS632" s="11"/>
      <c r="BT632" s="11"/>
      <c r="BU632" s="11"/>
      <c r="BV632" s="11"/>
      <c r="BW632" s="11"/>
      <c r="BX632" s="11"/>
      <c r="BY632" s="11"/>
      <c r="BZ632" s="11"/>
      <c r="CA632" s="11"/>
      <c r="CB632" s="11"/>
      <c r="CC632" s="17"/>
      <c r="CD632" s="17"/>
      <c r="CE632" s="11"/>
      <c r="CF632" s="13"/>
      <c r="CG632" s="13"/>
      <c r="CH632" s="13"/>
      <c r="CI632" s="13"/>
      <c r="CJ632" s="13"/>
    </row>
    <row r="633" spans="1:88" s="9" customFormat="1" x14ac:dyDescent="0.25">
      <c r="A633" s="10"/>
      <c r="B633" s="10"/>
      <c r="C633" s="10"/>
      <c r="D633" s="10"/>
      <c r="E633" s="11"/>
      <c r="F633" s="10"/>
      <c r="G633" s="10"/>
      <c r="H633" s="10"/>
      <c r="I633" s="10"/>
      <c r="J633" s="10"/>
      <c r="K633" s="12"/>
      <c r="L633" s="10"/>
      <c r="M633" s="10"/>
      <c r="N633" s="13"/>
      <c r="O633" s="10"/>
      <c r="P633" s="10"/>
      <c r="Q633" s="10"/>
      <c r="R633" s="18"/>
      <c r="S633" s="10"/>
      <c r="T633" s="10"/>
      <c r="U633" s="13"/>
      <c r="V633" s="13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3"/>
      <c r="AL633" s="14"/>
      <c r="AM633" s="15"/>
      <c r="AN633" s="15"/>
      <c r="AO633" s="13"/>
      <c r="AP633" s="13"/>
      <c r="AQ633" s="16"/>
      <c r="AR633" s="10"/>
      <c r="AS633" s="10"/>
      <c r="AT633" s="10"/>
      <c r="AU633" s="10"/>
      <c r="AV633" s="11"/>
      <c r="AW633" s="11"/>
      <c r="AX633" s="10"/>
      <c r="AY633" s="11"/>
      <c r="AZ633" s="11"/>
      <c r="BA633" s="11"/>
      <c r="BB633" s="10"/>
      <c r="BC633" s="11"/>
      <c r="BD633" s="11"/>
      <c r="BE633" s="11"/>
      <c r="BF633" s="11"/>
      <c r="BG633" s="11"/>
      <c r="BH633" s="11"/>
      <c r="BI633" s="11"/>
      <c r="BJ633" s="11"/>
      <c r="BK633" s="11"/>
      <c r="BL633" s="11"/>
      <c r="BM633" s="11"/>
      <c r="BN633" s="11"/>
      <c r="BO633" s="11"/>
      <c r="BP633" s="11"/>
      <c r="BQ633" s="11"/>
      <c r="BR633" s="11"/>
      <c r="BS633" s="11"/>
      <c r="BT633" s="11"/>
      <c r="BU633" s="11"/>
      <c r="BV633" s="11"/>
      <c r="BW633" s="11"/>
      <c r="BX633" s="11"/>
      <c r="BY633" s="11"/>
      <c r="BZ633" s="11"/>
      <c r="CA633" s="11"/>
      <c r="CB633" s="11"/>
      <c r="CC633" s="17"/>
      <c r="CD633" s="17"/>
      <c r="CE633" s="11"/>
      <c r="CF633" s="13"/>
      <c r="CG633" s="13"/>
      <c r="CH633" s="13"/>
      <c r="CI633" s="13"/>
      <c r="CJ633" s="13"/>
    </row>
    <row r="634" spans="1:88" s="9" customFormat="1" x14ac:dyDescent="0.25">
      <c r="A634" s="10"/>
      <c r="B634" s="10"/>
      <c r="C634" s="10"/>
      <c r="D634" s="10"/>
      <c r="E634" s="11"/>
      <c r="F634" s="10"/>
      <c r="G634" s="10"/>
      <c r="H634" s="10"/>
      <c r="I634" s="10"/>
      <c r="J634" s="10"/>
      <c r="K634" s="12"/>
      <c r="L634" s="10"/>
      <c r="M634" s="10"/>
      <c r="N634" s="13"/>
      <c r="O634" s="10"/>
      <c r="P634" s="10"/>
      <c r="Q634" s="10"/>
      <c r="R634" s="18"/>
      <c r="S634" s="10"/>
      <c r="T634" s="10"/>
      <c r="U634" s="13"/>
      <c r="V634" s="13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3"/>
      <c r="AL634" s="14"/>
      <c r="AM634" s="15"/>
      <c r="AN634" s="15"/>
      <c r="AO634" s="13"/>
      <c r="AP634" s="13"/>
      <c r="AQ634" s="16"/>
      <c r="AR634" s="10"/>
      <c r="AS634" s="10"/>
      <c r="AT634" s="10"/>
      <c r="AU634" s="10"/>
      <c r="AV634" s="11"/>
      <c r="AW634" s="11"/>
      <c r="AX634" s="10"/>
      <c r="AY634" s="11"/>
      <c r="AZ634" s="11"/>
      <c r="BA634" s="11"/>
      <c r="BB634" s="10"/>
      <c r="BC634" s="11"/>
      <c r="BD634" s="11"/>
      <c r="BE634" s="11"/>
      <c r="BF634" s="11"/>
      <c r="BG634" s="11"/>
      <c r="BH634" s="11"/>
      <c r="BI634" s="11"/>
      <c r="BJ634" s="11"/>
      <c r="BK634" s="11"/>
      <c r="BL634" s="11"/>
      <c r="BM634" s="11"/>
      <c r="BN634" s="11"/>
      <c r="BO634" s="11"/>
      <c r="BP634" s="11"/>
      <c r="BQ634" s="11"/>
      <c r="BR634" s="11"/>
      <c r="BS634" s="11"/>
      <c r="BT634" s="11"/>
      <c r="BU634" s="11"/>
      <c r="BV634" s="11"/>
      <c r="BW634" s="11"/>
      <c r="BX634" s="11"/>
      <c r="BY634" s="11"/>
      <c r="BZ634" s="11"/>
      <c r="CA634" s="11"/>
      <c r="CB634" s="11"/>
      <c r="CC634" s="17"/>
      <c r="CD634" s="17"/>
      <c r="CE634" s="11"/>
      <c r="CF634" s="13"/>
      <c r="CG634" s="13"/>
      <c r="CH634" s="13"/>
      <c r="CI634" s="13"/>
      <c r="CJ634" s="13"/>
    </row>
    <row r="635" spans="1:88" s="9" customFormat="1" x14ac:dyDescent="0.25">
      <c r="A635" s="10"/>
      <c r="B635" s="10"/>
      <c r="C635" s="10"/>
      <c r="D635" s="10"/>
      <c r="E635" s="11"/>
      <c r="F635" s="10"/>
      <c r="G635" s="10"/>
      <c r="H635" s="10"/>
      <c r="I635" s="10"/>
      <c r="J635" s="10"/>
      <c r="K635" s="12"/>
      <c r="L635" s="10"/>
      <c r="M635" s="10"/>
      <c r="N635" s="13"/>
      <c r="O635" s="10"/>
      <c r="P635" s="10"/>
      <c r="Q635" s="10"/>
      <c r="R635" s="18"/>
      <c r="S635" s="10"/>
      <c r="T635" s="10"/>
      <c r="U635" s="13"/>
      <c r="V635" s="13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3"/>
      <c r="AL635" s="14"/>
      <c r="AM635" s="15"/>
      <c r="AN635" s="15"/>
      <c r="AO635" s="13"/>
      <c r="AP635" s="13"/>
      <c r="AQ635" s="16"/>
      <c r="AR635" s="10"/>
      <c r="AS635" s="10"/>
      <c r="AT635" s="10"/>
      <c r="AU635" s="10"/>
      <c r="AV635" s="11"/>
      <c r="AW635" s="11"/>
      <c r="AX635" s="10"/>
      <c r="AY635" s="11"/>
      <c r="AZ635" s="11"/>
      <c r="BA635" s="11"/>
      <c r="BB635" s="10"/>
      <c r="BC635" s="11"/>
      <c r="BD635" s="11"/>
      <c r="BE635" s="11"/>
      <c r="BF635" s="11"/>
      <c r="BG635" s="11"/>
      <c r="BH635" s="11"/>
      <c r="BI635" s="11"/>
      <c r="BJ635" s="11"/>
      <c r="BK635" s="11"/>
      <c r="BL635" s="11"/>
      <c r="BM635" s="11"/>
      <c r="BN635" s="11"/>
      <c r="BO635" s="11"/>
      <c r="BP635" s="11"/>
      <c r="BQ635" s="11"/>
      <c r="BR635" s="11"/>
      <c r="BS635" s="11"/>
      <c r="BT635" s="11"/>
      <c r="BU635" s="11"/>
      <c r="BV635" s="11"/>
      <c r="BW635" s="11"/>
      <c r="BX635" s="11"/>
      <c r="BY635" s="11"/>
      <c r="BZ635" s="11"/>
      <c r="CA635" s="11"/>
      <c r="CB635" s="11"/>
      <c r="CC635" s="17"/>
      <c r="CD635" s="17"/>
      <c r="CE635" s="11"/>
      <c r="CF635" s="13"/>
      <c r="CG635" s="13"/>
      <c r="CH635" s="13"/>
      <c r="CI635" s="13"/>
      <c r="CJ635" s="13"/>
    </row>
    <row r="636" spans="1:88" s="9" customFormat="1" x14ac:dyDescent="0.25">
      <c r="A636" s="10"/>
      <c r="B636" s="10"/>
      <c r="C636" s="10"/>
      <c r="D636" s="10"/>
      <c r="E636" s="11"/>
      <c r="F636" s="10"/>
      <c r="G636" s="10"/>
      <c r="H636" s="10"/>
      <c r="I636" s="10"/>
      <c r="J636" s="10"/>
      <c r="K636" s="12"/>
      <c r="L636" s="10"/>
      <c r="M636" s="10"/>
      <c r="N636" s="13"/>
      <c r="O636" s="10"/>
      <c r="P636" s="10"/>
      <c r="Q636" s="10"/>
      <c r="R636" s="18"/>
      <c r="S636" s="10"/>
      <c r="T636" s="10"/>
      <c r="U636" s="13"/>
      <c r="V636" s="13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3"/>
      <c r="AL636" s="14"/>
      <c r="AM636" s="15"/>
      <c r="AN636" s="15"/>
      <c r="AO636" s="13"/>
      <c r="AP636" s="13"/>
      <c r="AQ636" s="16"/>
      <c r="AR636" s="10"/>
      <c r="AS636" s="10"/>
      <c r="AT636" s="10"/>
      <c r="AU636" s="10"/>
      <c r="AV636" s="11"/>
      <c r="AW636" s="11"/>
      <c r="AX636" s="10"/>
      <c r="AY636" s="11"/>
      <c r="AZ636" s="11"/>
      <c r="BA636" s="11"/>
      <c r="BB636" s="10"/>
      <c r="BC636" s="11"/>
      <c r="BD636" s="11"/>
      <c r="BE636" s="11"/>
      <c r="BF636" s="11"/>
      <c r="BG636" s="11"/>
      <c r="BH636" s="11"/>
      <c r="BI636" s="11"/>
      <c r="BJ636" s="11"/>
      <c r="BK636" s="11"/>
      <c r="BL636" s="11"/>
      <c r="BM636" s="11"/>
      <c r="BN636" s="11"/>
      <c r="BO636" s="11"/>
      <c r="BP636" s="11"/>
      <c r="BQ636" s="11"/>
      <c r="BR636" s="11"/>
      <c r="BS636" s="11"/>
      <c r="BT636" s="11"/>
      <c r="BU636" s="11"/>
      <c r="BV636" s="11"/>
      <c r="BW636" s="11"/>
      <c r="BX636" s="11"/>
      <c r="BY636" s="11"/>
      <c r="BZ636" s="11"/>
      <c r="CA636" s="11"/>
      <c r="CB636" s="11"/>
      <c r="CC636" s="17"/>
      <c r="CD636" s="17"/>
      <c r="CE636" s="11"/>
      <c r="CF636" s="13"/>
      <c r="CG636" s="13"/>
      <c r="CH636" s="13"/>
      <c r="CI636" s="13"/>
      <c r="CJ636" s="13"/>
    </row>
    <row r="637" spans="1:88" s="9" customFormat="1" x14ac:dyDescent="0.25">
      <c r="A637" s="10"/>
      <c r="B637" s="10"/>
      <c r="C637" s="10"/>
      <c r="D637" s="10"/>
      <c r="E637" s="11"/>
      <c r="F637" s="10"/>
      <c r="G637" s="10"/>
      <c r="H637" s="10"/>
      <c r="I637" s="10"/>
      <c r="J637" s="10"/>
      <c r="K637" s="12"/>
      <c r="L637" s="10"/>
      <c r="M637" s="10"/>
      <c r="N637" s="13"/>
      <c r="O637" s="10"/>
      <c r="P637" s="10"/>
      <c r="Q637" s="10"/>
      <c r="R637" s="18"/>
      <c r="S637" s="10"/>
      <c r="T637" s="10"/>
      <c r="U637" s="13"/>
      <c r="V637" s="13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3"/>
      <c r="AL637" s="14"/>
      <c r="AM637" s="15"/>
      <c r="AN637" s="15"/>
      <c r="AO637" s="13"/>
      <c r="AP637" s="13"/>
      <c r="AQ637" s="16"/>
      <c r="AR637" s="10"/>
      <c r="AS637" s="10"/>
      <c r="AT637" s="10"/>
      <c r="AU637" s="10"/>
      <c r="AV637" s="11"/>
      <c r="AW637" s="11"/>
      <c r="AX637" s="10"/>
      <c r="AY637" s="11"/>
      <c r="AZ637" s="11"/>
      <c r="BA637" s="11"/>
      <c r="BB637" s="10"/>
      <c r="BC637" s="11"/>
      <c r="BD637" s="11"/>
      <c r="BE637" s="11"/>
      <c r="BF637" s="11"/>
      <c r="BG637" s="11"/>
      <c r="BH637" s="11"/>
      <c r="BI637" s="11"/>
      <c r="BJ637" s="11"/>
      <c r="BK637" s="11"/>
      <c r="BL637" s="11"/>
      <c r="BM637" s="11"/>
      <c r="BN637" s="11"/>
      <c r="BO637" s="11"/>
      <c r="BP637" s="11"/>
      <c r="BQ637" s="11"/>
      <c r="BR637" s="11"/>
      <c r="BS637" s="11"/>
      <c r="BT637" s="11"/>
      <c r="BU637" s="11"/>
      <c r="BV637" s="11"/>
      <c r="BW637" s="11"/>
      <c r="BX637" s="11"/>
      <c r="BY637" s="11"/>
      <c r="BZ637" s="11"/>
      <c r="CA637" s="11"/>
      <c r="CB637" s="11"/>
      <c r="CC637" s="17"/>
      <c r="CD637" s="17"/>
      <c r="CE637" s="11"/>
      <c r="CF637" s="13"/>
      <c r="CG637" s="13"/>
      <c r="CH637" s="13"/>
      <c r="CI637" s="13"/>
      <c r="CJ637" s="13"/>
    </row>
    <row r="638" spans="1:88" s="9" customFormat="1" x14ac:dyDescent="0.25">
      <c r="A638" s="10"/>
      <c r="B638" s="10"/>
      <c r="C638" s="10"/>
      <c r="D638" s="10"/>
      <c r="E638" s="11"/>
      <c r="F638" s="10"/>
      <c r="G638" s="10"/>
      <c r="H638" s="10"/>
      <c r="I638" s="10"/>
      <c r="J638" s="10"/>
      <c r="K638" s="12"/>
      <c r="L638" s="10"/>
      <c r="M638" s="10"/>
      <c r="N638" s="13"/>
      <c r="O638" s="10"/>
      <c r="P638" s="10"/>
      <c r="Q638" s="10"/>
      <c r="R638" s="18"/>
      <c r="S638" s="10"/>
      <c r="T638" s="10"/>
      <c r="U638" s="13"/>
      <c r="V638" s="13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3"/>
      <c r="AL638" s="14"/>
      <c r="AM638" s="15"/>
      <c r="AN638" s="15"/>
      <c r="AO638" s="13"/>
      <c r="AP638" s="13"/>
      <c r="AQ638" s="16"/>
      <c r="AR638" s="10"/>
      <c r="AS638" s="10"/>
      <c r="AT638" s="10"/>
      <c r="AU638" s="10"/>
      <c r="AV638" s="11"/>
      <c r="AW638" s="11"/>
      <c r="AX638" s="10"/>
      <c r="AY638" s="11"/>
      <c r="AZ638" s="11"/>
      <c r="BA638" s="11"/>
      <c r="BB638" s="10"/>
      <c r="BC638" s="11"/>
      <c r="BD638" s="11"/>
      <c r="BE638" s="11"/>
      <c r="BF638" s="11"/>
      <c r="BG638" s="11"/>
      <c r="BH638" s="11"/>
      <c r="BI638" s="11"/>
      <c r="BJ638" s="11"/>
      <c r="BK638" s="11"/>
      <c r="BL638" s="11"/>
      <c r="BM638" s="11"/>
      <c r="BN638" s="11"/>
      <c r="BO638" s="11"/>
      <c r="BP638" s="11"/>
      <c r="BQ638" s="11"/>
      <c r="BR638" s="11"/>
      <c r="BS638" s="11"/>
      <c r="BT638" s="11"/>
      <c r="BU638" s="11"/>
      <c r="BV638" s="11"/>
      <c r="BW638" s="11"/>
      <c r="BX638" s="11"/>
      <c r="BY638" s="11"/>
      <c r="BZ638" s="11"/>
      <c r="CA638" s="11"/>
      <c r="CB638" s="11"/>
      <c r="CC638" s="17"/>
      <c r="CD638" s="17"/>
      <c r="CE638" s="11"/>
      <c r="CF638" s="13"/>
      <c r="CG638" s="13"/>
      <c r="CH638" s="13"/>
      <c r="CI638" s="13"/>
      <c r="CJ638" s="13"/>
    </row>
    <row r="639" spans="1:88" s="9" customFormat="1" x14ac:dyDescent="0.25">
      <c r="A639" s="10"/>
      <c r="B639" s="10"/>
      <c r="C639" s="10"/>
      <c r="D639" s="10"/>
      <c r="E639" s="11"/>
      <c r="F639" s="10"/>
      <c r="G639" s="10"/>
      <c r="H639" s="10"/>
      <c r="I639" s="10"/>
      <c r="J639" s="10"/>
      <c r="K639" s="12"/>
      <c r="L639" s="10"/>
      <c r="M639" s="10"/>
      <c r="N639" s="13"/>
      <c r="O639" s="10"/>
      <c r="P639" s="10"/>
      <c r="Q639" s="10"/>
      <c r="R639" s="18"/>
      <c r="S639" s="10"/>
      <c r="T639" s="10"/>
      <c r="U639" s="13"/>
      <c r="V639" s="13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3"/>
      <c r="AL639" s="14"/>
      <c r="AM639" s="15"/>
      <c r="AN639" s="15"/>
      <c r="AO639" s="13"/>
      <c r="AP639" s="13"/>
      <c r="AQ639" s="16"/>
      <c r="AR639" s="10"/>
      <c r="AS639" s="10"/>
      <c r="AT639" s="10"/>
      <c r="AU639" s="10"/>
      <c r="AV639" s="11"/>
      <c r="AW639" s="11"/>
      <c r="AX639" s="10"/>
      <c r="AY639" s="11"/>
      <c r="AZ639" s="11"/>
      <c r="BA639" s="11"/>
      <c r="BB639" s="10"/>
      <c r="BC639" s="11"/>
      <c r="BD639" s="11"/>
      <c r="BE639" s="11"/>
      <c r="BF639" s="11"/>
      <c r="BG639" s="11"/>
      <c r="BH639" s="11"/>
      <c r="BI639" s="11"/>
      <c r="BJ639" s="11"/>
      <c r="BK639" s="11"/>
      <c r="BL639" s="11"/>
      <c r="BM639" s="11"/>
      <c r="BN639" s="11"/>
      <c r="BO639" s="11"/>
      <c r="BP639" s="11"/>
      <c r="BQ639" s="11"/>
      <c r="BR639" s="11"/>
      <c r="BS639" s="11"/>
      <c r="BT639" s="11"/>
      <c r="BU639" s="11"/>
      <c r="BV639" s="11"/>
      <c r="BW639" s="11"/>
      <c r="BX639" s="11"/>
      <c r="BY639" s="11"/>
      <c r="BZ639" s="11"/>
      <c r="CA639" s="11"/>
      <c r="CB639" s="11"/>
      <c r="CC639" s="17"/>
      <c r="CD639" s="17"/>
      <c r="CE639" s="11"/>
      <c r="CF639" s="13"/>
      <c r="CG639" s="13"/>
      <c r="CH639" s="13"/>
      <c r="CI639" s="13"/>
      <c r="CJ639" s="13"/>
    </row>
    <row r="640" spans="1:88" s="9" customFormat="1" x14ac:dyDescent="0.25">
      <c r="A640" s="10"/>
      <c r="B640" s="10"/>
      <c r="C640" s="10"/>
      <c r="D640" s="10"/>
      <c r="E640" s="11"/>
      <c r="F640" s="10"/>
      <c r="G640" s="10"/>
      <c r="H640" s="10"/>
      <c r="I640" s="10"/>
      <c r="J640" s="10"/>
      <c r="K640" s="12"/>
      <c r="L640" s="10"/>
      <c r="M640" s="10"/>
      <c r="N640" s="13"/>
      <c r="O640" s="10"/>
      <c r="P640" s="10"/>
      <c r="Q640" s="10"/>
      <c r="R640" s="18"/>
      <c r="S640" s="10"/>
      <c r="T640" s="10"/>
      <c r="U640" s="13"/>
      <c r="V640" s="13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3"/>
      <c r="AL640" s="14"/>
      <c r="AM640" s="15"/>
      <c r="AN640" s="15"/>
      <c r="AO640" s="13"/>
      <c r="AP640" s="13"/>
      <c r="AQ640" s="16"/>
      <c r="AR640" s="10"/>
      <c r="AS640" s="10"/>
      <c r="AT640" s="10"/>
      <c r="AU640" s="10"/>
      <c r="AV640" s="11"/>
      <c r="AW640" s="11"/>
      <c r="AX640" s="10"/>
      <c r="AY640" s="11"/>
      <c r="AZ640" s="11"/>
      <c r="BA640" s="11"/>
      <c r="BB640" s="10"/>
      <c r="BC640" s="11"/>
      <c r="BD640" s="11"/>
      <c r="BE640" s="11"/>
      <c r="BF640" s="11"/>
      <c r="BG640" s="11"/>
      <c r="BH640" s="11"/>
      <c r="BI640" s="11"/>
      <c r="BJ640" s="11"/>
      <c r="BK640" s="11"/>
      <c r="BL640" s="11"/>
      <c r="BM640" s="11"/>
      <c r="BN640" s="11"/>
      <c r="BO640" s="11"/>
      <c r="BP640" s="11"/>
      <c r="BQ640" s="11"/>
      <c r="BR640" s="11"/>
      <c r="BS640" s="11"/>
      <c r="BT640" s="11"/>
      <c r="BU640" s="11"/>
      <c r="BV640" s="11"/>
      <c r="BW640" s="11"/>
      <c r="BX640" s="11"/>
      <c r="BY640" s="11"/>
      <c r="BZ640" s="11"/>
      <c r="CA640" s="11"/>
      <c r="CB640" s="11"/>
      <c r="CC640" s="17"/>
      <c r="CD640" s="17"/>
      <c r="CE640" s="11"/>
      <c r="CF640" s="13"/>
      <c r="CG640" s="13"/>
      <c r="CH640" s="13"/>
      <c r="CI640" s="13"/>
      <c r="CJ640" s="13"/>
    </row>
    <row r="641" spans="1:88" s="9" customFormat="1" x14ac:dyDescent="0.25">
      <c r="A641" s="10"/>
      <c r="B641" s="10"/>
      <c r="C641" s="10"/>
      <c r="D641" s="10"/>
      <c r="E641" s="11"/>
      <c r="F641" s="10"/>
      <c r="G641" s="10"/>
      <c r="H641" s="10"/>
      <c r="I641" s="10"/>
      <c r="J641" s="10"/>
      <c r="K641" s="12"/>
      <c r="L641" s="10"/>
      <c r="M641" s="10"/>
      <c r="N641" s="13"/>
      <c r="O641" s="10"/>
      <c r="P641" s="10"/>
      <c r="Q641" s="10"/>
      <c r="R641" s="18"/>
      <c r="S641" s="10"/>
      <c r="T641" s="10"/>
      <c r="U641" s="13"/>
      <c r="V641" s="13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3"/>
      <c r="AL641" s="14"/>
      <c r="AM641" s="15"/>
      <c r="AN641" s="15"/>
      <c r="AO641" s="13"/>
      <c r="AP641" s="13"/>
      <c r="AQ641" s="16"/>
      <c r="AR641" s="10"/>
      <c r="AS641" s="10"/>
      <c r="AT641" s="10"/>
      <c r="AU641" s="10"/>
      <c r="AV641" s="11"/>
      <c r="AW641" s="11"/>
      <c r="AX641" s="10"/>
      <c r="AY641" s="11"/>
      <c r="AZ641" s="11"/>
      <c r="BA641" s="11"/>
      <c r="BB641" s="10"/>
      <c r="BC641" s="11"/>
      <c r="BD641" s="11"/>
      <c r="BE641" s="11"/>
      <c r="BF641" s="11"/>
      <c r="BG641" s="11"/>
      <c r="BH641" s="11"/>
      <c r="BI641" s="11"/>
      <c r="BJ641" s="11"/>
      <c r="BK641" s="11"/>
      <c r="BL641" s="11"/>
      <c r="BM641" s="11"/>
      <c r="BN641" s="11"/>
      <c r="BO641" s="11"/>
      <c r="BP641" s="11"/>
      <c r="BQ641" s="11"/>
      <c r="BR641" s="11"/>
      <c r="BS641" s="11"/>
      <c r="BT641" s="11"/>
      <c r="BU641" s="11"/>
      <c r="BV641" s="11"/>
      <c r="BW641" s="11"/>
      <c r="BX641" s="11"/>
      <c r="BY641" s="11"/>
      <c r="BZ641" s="11"/>
      <c r="CA641" s="11"/>
      <c r="CB641" s="11"/>
      <c r="CC641" s="17"/>
      <c r="CD641" s="17"/>
      <c r="CE641" s="11"/>
      <c r="CF641" s="13"/>
      <c r="CG641" s="13"/>
      <c r="CH641" s="13"/>
      <c r="CI641" s="13"/>
      <c r="CJ641" s="13"/>
    </row>
    <row r="642" spans="1:88" s="9" customFormat="1" x14ac:dyDescent="0.25">
      <c r="A642" s="10"/>
      <c r="B642" s="10"/>
      <c r="C642" s="10"/>
      <c r="D642" s="10"/>
      <c r="E642" s="11"/>
      <c r="F642" s="10"/>
      <c r="G642" s="10"/>
      <c r="H642" s="10"/>
      <c r="I642" s="10"/>
      <c r="J642" s="10"/>
      <c r="K642" s="12"/>
      <c r="L642" s="10"/>
      <c r="M642" s="10"/>
      <c r="N642" s="13"/>
      <c r="O642" s="10"/>
      <c r="P642" s="10"/>
      <c r="Q642" s="10"/>
      <c r="R642" s="18"/>
      <c r="S642" s="10"/>
      <c r="T642" s="10"/>
      <c r="U642" s="13"/>
      <c r="V642" s="13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3"/>
      <c r="AL642" s="14"/>
      <c r="AM642" s="15"/>
      <c r="AN642" s="15"/>
      <c r="AO642" s="13"/>
      <c r="AP642" s="13"/>
      <c r="AQ642" s="16"/>
      <c r="AR642" s="10"/>
      <c r="AS642" s="10"/>
      <c r="AT642" s="10"/>
      <c r="AU642" s="10"/>
      <c r="AV642" s="11"/>
      <c r="AW642" s="11"/>
      <c r="AX642" s="10"/>
      <c r="AY642" s="11"/>
      <c r="AZ642" s="11"/>
      <c r="BA642" s="11"/>
      <c r="BB642" s="10"/>
      <c r="BC642" s="11"/>
      <c r="BD642" s="11"/>
      <c r="BE642" s="11"/>
      <c r="BF642" s="11"/>
      <c r="BG642" s="11"/>
      <c r="BH642" s="11"/>
      <c r="BI642" s="11"/>
      <c r="BJ642" s="11"/>
      <c r="BK642" s="11"/>
      <c r="BL642" s="11"/>
      <c r="BM642" s="11"/>
      <c r="BN642" s="11"/>
      <c r="BO642" s="11"/>
      <c r="BP642" s="11"/>
      <c r="BQ642" s="11"/>
      <c r="BR642" s="11"/>
      <c r="BS642" s="11"/>
      <c r="BT642" s="11"/>
      <c r="BU642" s="11"/>
      <c r="BV642" s="11"/>
      <c r="BW642" s="11"/>
      <c r="BX642" s="11"/>
      <c r="BY642" s="11"/>
      <c r="BZ642" s="11"/>
      <c r="CA642" s="11"/>
      <c r="CB642" s="11"/>
      <c r="CC642" s="17"/>
      <c r="CD642" s="17"/>
      <c r="CE642" s="11"/>
      <c r="CF642" s="13"/>
      <c r="CG642" s="13"/>
      <c r="CH642" s="13"/>
      <c r="CI642" s="13"/>
      <c r="CJ642" s="13"/>
    </row>
    <row r="643" spans="1:88" s="9" customFormat="1" x14ac:dyDescent="0.25">
      <c r="A643" s="10"/>
      <c r="B643" s="10"/>
      <c r="C643" s="10"/>
      <c r="D643" s="10"/>
      <c r="E643" s="11"/>
      <c r="F643" s="10"/>
      <c r="G643" s="10"/>
      <c r="H643" s="10"/>
      <c r="I643" s="10"/>
      <c r="J643" s="10"/>
      <c r="K643" s="12"/>
      <c r="L643" s="10"/>
      <c r="M643" s="10"/>
      <c r="N643" s="13"/>
      <c r="O643" s="10"/>
      <c r="P643" s="10"/>
      <c r="Q643" s="10"/>
      <c r="R643" s="18"/>
      <c r="S643" s="10"/>
      <c r="T643" s="10"/>
      <c r="U643" s="13"/>
      <c r="V643" s="13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3"/>
      <c r="AL643" s="14"/>
      <c r="AM643" s="15"/>
      <c r="AN643" s="15"/>
      <c r="AO643" s="13"/>
      <c r="AP643" s="13"/>
      <c r="AQ643" s="16"/>
      <c r="AR643" s="10"/>
      <c r="AS643" s="10"/>
      <c r="AT643" s="10"/>
      <c r="AU643" s="10"/>
      <c r="AV643" s="11"/>
      <c r="AW643" s="11"/>
      <c r="AX643" s="10"/>
      <c r="AY643" s="11"/>
      <c r="AZ643" s="11"/>
      <c r="BA643" s="11"/>
      <c r="BB643" s="10"/>
      <c r="BC643" s="11"/>
      <c r="BD643" s="11"/>
      <c r="BE643" s="11"/>
      <c r="BF643" s="11"/>
      <c r="BG643" s="11"/>
      <c r="BH643" s="11"/>
      <c r="BI643" s="11"/>
      <c r="BJ643" s="11"/>
      <c r="BK643" s="11"/>
      <c r="BL643" s="11"/>
      <c r="BM643" s="11"/>
      <c r="BN643" s="11"/>
      <c r="BO643" s="11"/>
      <c r="BP643" s="11"/>
      <c r="BQ643" s="11"/>
      <c r="BR643" s="11"/>
      <c r="BS643" s="11"/>
      <c r="BT643" s="11"/>
      <c r="BU643" s="11"/>
      <c r="BV643" s="11"/>
      <c r="BW643" s="11"/>
      <c r="BX643" s="11"/>
      <c r="BY643" s="11"/>
      <c r="BZ643" s="11"/>
      <c r="CA643" s="11"/>
      <c r="CB643" s="11"/>
      <c r="CC643" s="17"/>
      <c r="CD643" s="17"/>
      <c r="CE643" s="11"/>
      <c r="CF643" s="13"/>
      <c r="CG643" s="13"/>
      <c r="CH643" s="13"/>
      <c r="CI643" s="13"/>
      <c r="CJ643" s="13"/>
    </row>
    <row r="644" spans="1:88" s="9" customFormat="1" x14ac:dyDescent="0.25">
      <c r="A644" s="10"/>
      <c r="B644" s="10"/>
      <c r="C644" s="10"/>
      <c r="D644" s="10"/>
      <c r="E644" s="11"/>
      <c r="F644" s="10"/>
      <c r="G644" s="10"/>
      <c r="H644" s="10"/>
      <c r="I644" s="10"/>
      <c r="J644" s="10"/>
      <c r="K644" s="12"/>
      <c r="L644" s="10"/>
      <c r="M644" s="10"/>
      <c r="N644" s="13"/>
      <c r="O644" s="10"/>
      <c r="P644" s="10"/>
      <c r="Q644" s="10"/>
      <c r="R644" s="18"/>
      <c r="S644" s="10"/>
      <c r="T644" s="10"/>
      <c r="U644" s="13"/>
      <c r="V644" s="13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3"/>
      <c r="AL644" s="14"/>
      <c r="AM644" s="15"/>
      <c r="AN644" s="15"/>
      <c r="AO644" s="13"/>
      <c r="AP644" s="13"/>
      <c r="AQ644" s="16"/>
      <c r="AR644" s="10"/>
      <c r="AS644" s="10"/>
      <c r="AT644" s="10"/>
      <c r="AU644" s="10"/>
      <c r="AV644" s="11"/>
      <c r="AW644" s="11"/>
      <c r="AX644" s="10"/>
      <c r="AY644" s="11"/>
      <c r="AZ644" s="11"/>
      <c r="BA644" s="11"/>
      <c r="BB644" s="10"/>
      <c r="BC644" s="11"/>
      <c r="BD644" s="11"/>
      <c r="BE644" s="11"/>
      <c r="BF644" s="11"/>
      <c r="BG644" s="11"/>
      <c r="BH644" s="11"/>
      <c r="BI644" s="11"/>
      <c r="BJ644" s="11"/>
      <c r="BK644" s="11"/>
      <c r="BL644" s="11"/>
      <c r="BM644" s="11"/>
      <c r="BN644" s="11"/>
      <c r="BO644" s="11"/>
      <c r="BP644" s="11"/>
      <c r="BQ644" s="11"/>
      <c r="BR644" s="11"/>
      <c r="BS644" s="11"/>
      <c r="BT644" s="11"/>
      <c r="BU644" s="11"/>
      <c r="BV644" s="11"/>
      <c r="BW644" s="11"/>
      <c r="BX644" s="11"/>
      <c r="BY644" s="11"/>
      <c r="BZ644" s="11"/>
      <c r="CA644" s="11"/>
      <c r="CB644" s="11"/>
      <c r="CC644" s="17"/>
      <c r="CD644" s="17"/>
      <c r="CE644" s="11"/>
      <c r="CF644" s="13"/>
      <c r="CG644" s="13"/>
      <c r="CH644" s="13"/>
      <c r="CI644" s="13"/>
      <c r="CJ644" s="13"/>
    </row>
    <row r="645" spans="1:88" s="9" customFormat="1" x14ac:dyDescent="0.25">
      <c r="A645" s="10"/>
      <c r="B645" s="10"/>
      <c r="C645" s="10"/>
      <c r="D645" s="10"/>
      <c r="E645" s="11"/>
      <c r="F645" s="10"/>
      <c r="G645" s="10"/>
      <c r="H645" s="10"/>
      <c r="I645" s="10"/>
      <c r="J645" s="10"/>
      <c r="K645" s="12"/>
      <c r="L645" s="10"/>
      <c r="M645" s="10"/>
      <c r="N645" s="13"/>
      <c r="O645" s="10"/>
      <c r="P645" s="10"/>
      <c r="Q645" s="10"/>
      <c r="R645" s="18"/>
      <c r="S645" s="10"/>
      <c r="T645" s="10"/>
      <c r="U645" s="13"/>
      <c r="V645" s="13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3"/>
      <c r="AL645" s="14"/>
      <c r="AM645" s="15"/>
      <c r="AN645" s="15"/>
      <c r="AO645" s="13"/>
      <c r="AP645" s="13"/>
      <c r="AQ645" s="16"/>
      <c r="AR645" s="10"/>
      <c r="AS645" s="10"/>
      <c r="AT645" s="10"/>
      <c r="AU645" s="10"/>
      <c r="AV645" s="11"/>
      <c r="AW645" s="11"/>
      <c r="AX645" s="10"/>
      <c r="AY645" s="11"/>
      <c r="AZ645" s="11"/>
      <c r="BA645" s="11"/>
      <c r="BB645" s="10"/>
      <c r="BC645" s="11"/>
      <c r="BD645" s="11"/>
      <c r="BE645" s="11"/>
      <c r="BF645" s="11"/>
      <c r="BG645" s="11"/>
      <c r="BH645" s="11"/>
      <c r="BI645" s="11"/>
      <c r="BJ645" s="11"/>
      <c r="BK645" s="11"/>
      <c r="BL645" s="11"/>
      <c r="BM645" s="11"/>
      <c r="BN645" s="11"/>
      <c r="BO645" s="11"/>
      <c r="BP645" s="11"/>
      <c r="BQ645" s="11"/>
      <c r="BR645" s="11"/>
      <c r="BS645" s="11"/>
      <c r="BT645" s="11"/>
      <c r="BU645" s="11"/>
      <c r="BV645" s="11"/>
      <c r="BW645" s="11"/>
      <c r="BX645" s="11"/>
      <c r="BY645" s="11"/>
      <c r="BZ645" s="11"/>
      <c r="CA645" s="11"/>
      <c r="CB645" s="11"/>
      <c r="CC645" s="17"/>
      <c r="CD645" s="17"/>
      <c r="CE645" s="11"/>
      <c r="CF645" s="13"/>
      <c r="CG645" s="13"/>
      <c r="CH645" s="13"/>
      <c r="CI645" s="13"/>
      <c r="CJ645" s="13"/>
    </row>
    <row r="646" spans="1:88" s="9" customFormat="1" x14ac:dyDescent="0.25">
      <c r="A646" s="10"/>
      <c r="B646" s="10"/>
      <c r="C646" s="10"/>
      <c r="D646" s="10"/>
      <c r="E646" s="11"/>
      <c r="F646" s="10"/>
      <c r="G646" s="10"/>
      <c r="H646" s="10"/>
      <c r="I646" s="10"/>
      <c r="J646" s="10"/>
      <c r="K646" s="12"/>
      <c r="L646" s="10"/>
      <c r="M646" s="10"/>
      <c r="N646" s="13"/>
      <c r="O646" s="10"/>
      <c r="P646" s="10"/>
      <c r="Q646" s="10"/>
      <c r="R646" s="18"/>
      <c r="S646" s="10"/>
      <c r="T646" s="10"/>
      <c r="U646" s="13"/>
      <c r="V646" s="13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3"/>
      <c r="AL646" s="14"/>
      <c r="AM646" s="15"/>
      <c r="AN646" s="15"/>
      <c r="AO646" s="13"/>
      <c r="AP646" s="13"/>
      <c r="AQ646" s="16"/>
      <c r="AR646" s="10"/>
      <c r="AS646" s="10"/>
      <c r="AT646" s="10"/>
      <c r="AU646" s="10"/>
      <c r="AV646" s="11"/>
      <c r="AW646" s="11"/>
      <c r="AX646" s="10"/>
      <c r="AY646" s="11"/>
      <c r="AZ646" s="11"/>
      <c r="BA646" s="11"/>
      <c r="BB646" s="10"/>
      <c r="BC646" s="11"/>
      <c r="BD646" s="11"/>
      <c r="BE646" s="11"/>
      <c r="BF646" s="11"/>
      <c r="BG646" s="11"/>
      <c r="BH646" s="11"/>
      <c r="BI646" s="11"/>
      <c r="BJ646" s="11"/>
      <c r="BK646" s="11"/>
      <c r="BL646" s="11"/>
      <c r="BM646" s="11"/>
      <c r="BN646" s="11"/>
      <c r="BO646" s="11"/>
      <c r="BP646" s="11"/>
      <c r="BQ646" s="11"/>
      <c r="BR646" s="11"/>
      <c r="BS646" s="11"/>
      <c r="BT646" s="11"/>
      <c r="BU646" s="11"/>
      <c r="BV646" s="11"/>
      <c r="BW646" s="11"/>
      <c r="BX646" s="11"/>
      <c r="BY646" s="11"/>
      <c r="BZ646" s="11"/>
      <c r="CA646" s="11"/>
      <c r="CB646" s="11"/>
      <c r="CC646" s="17"/>
      <c r="CD646" s="17"/>
      <c r="CE646" s="11"/>
      <c r="CF646" s="13"/>
      <c r="CG646" s="13"/>
      <c r="CH646" s="13"/>
      <c r="CI646" s="13"/>
      <c r="CJ646" s="13"/>
    </row>
    <row r="647" spans="1:88" s="9" customFormat="1" x14ac:dyDescent="0.25">
      <c r="A647" s="10"/>
      <c r="B647" s="10"/>
      <c r="C647" s="10"/>
      <c r="D647" s="10"/>
      <c r="E647" s="11"/>
      <c r="F647" s="10"/>
      <c r="G647" s="10"/>
      <c r="H647" s="10"/>
      <c r="I647" s="10"/>
      <c r="J647" s="10"/>
      <c r="K647" s="12"/>
      <c r="L647" s="10"/>
      <c r="M647" s="10"/>
      <c r="N647" s="13"/>
      <c r="O647" s="10"/>
      <c r="P647" s="10"/>
      <c r="Q647" s="10"/>
      <c r="R647" s="18"/>
      <c r="S647" s="10"/>
      <c r="T647" s="10"/>
      <c r="U647" s="13"/>
      <c r="V647" s="13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3"/>
      <c r="AL647" s="14"/>
      <c r="AM647" s="15"/>
      <c r="AN647" s="15"/>
      <c r="AO647" s="13"/>
      <c r="AP647" s="13"/>
      <c r="AQ647" s="16"/>
      <c r="AR647" s="10"/>
      <c r="AS647" s="10"/>
      <c r="AT647" s="10"/>
      <c r="AU647" s="10"/>
      <c r="AV647" s="11"/>
      <c r="AW647" s="11"/>
      <c r="AX647" s="10"/>
      <c r="AY647" s="11"/>
      <c r="AZ647" s="11"/>
      <c r="BA647" s="11"/>
      <c r="BB647" s="10"/>
      <c r="BC647" s="11"/>
      <c r="BD647" s="11"/>
      <c r="BE647" s="11"/>
      <c r="BF647" s="11"/>
      <c r="BG647" s="11"/>
      <c r="BH647" s="11"/>
      <c r="BI647" s="11"/>
      <c r="BJ647" s="11"/>
      <c r="BK647" s="11"/>
      <c r="BL647" s="11"/>
      <c r="BM647" s="11"/>
      <c r="BN647" s="11"/>
      <c r="BO647" s="11"/>
      <c r="BP647" s="11"/>
      <c r="BQ647" s="11"/>
      <c r="BR647" s="11"/>
      <c r="BS647" s="11"/>
      <c r="BT647" s="11"/>
      <c r="BU647" s="11"/>
      <c r="BV647" s="11"/>
      <c r="BW647" s="11"/>
      <c r="BX647" s="11"/>
      <c r="BY647" s="11"/>
      <c r="BZ647" s="11"/>
      <c r="CA647" s="11"/>
      <c r="CB647" s="11"/>
      <c r="CC647" s="17"/>
      <c r="CD647" s="17"/>
      <c r="CE647" s="11"/>
      <c r="CF647" s="13"/>
      <c r="CG647" s="13"/>
      <c r="CH647" s="13"/>
      <c r="CI647" s="13"/>
      <c r="CJ647" s="13"/>
    </row>
    <row r="648" spans="1:88" s="9" customFormat="1" x14ac:dyDescent="0.25">
      <c r="A648" s="10"/>
      <c r="B648" s="10"/>
      <c r="C648" s="10"/>
      <c r="D648" s="10"/>
      <c r="E648" s="11"/>
      <c r="F648" s="10"/>
      <c r="G648" s="10"/>
      <c r="H648" s="10"/>
      <c r="I648" s="10"/>
      <c r="J648" s="10"/>
      <c r="K648" s="12"/>
      <c r="L648" s="10"/>
      <c r="M648" s="10"/>
      <c r="N648" s="13"/>
      <c r="O648" s="10"/>
      <c r="P648" s="10"/>
      <c r="Q648" s="10"/>
      <c r="R648" s="18"/>
      <c r="S648" s="10"/>
      <c r="T648" s="10"/>
      <c r="U648" s="13"/>
      <c r="V648" s="13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3"/>
      <c r="AL648" s="14"/>
      <c r="AM648" s="15"/>
      <c r="AN648" s="15"/>
      <c r="AO648" s="13"/>
      <c r="AP648" s="13"/>
      <c r="AQ648" s="16"/>
      <c r="AR648" s="10"/>
      <c r="AS648" s="10"/>
      <c r="AT648" s="10"/>
      <c r="AU648" s="10"/>
      <c r="AV648" s="11"/>
      <c r="AW648" s="11"/>
      <c r="AX648" s="10"/>
      <c r="AY648" s="11"/>
      <c r="AZ648" s="11"/>
      <c r="BA648" s="11"/>
      <c r="BB648" s="10"/>
      <c r="BC648" s="11"/>
      <c r="BD648" s="11"/>
      <c r="BE648" s="11"/>
      <c r="BF648" s="11"/>
      <c r="BG648" s="11"/>
      <c r="BH648" s="11"/>
      <c r="BI648" s="11"/>
      <c r="BJ648" s="11"/>
      <c r="BK648" s="11"/>
      <c r="BL648" s="11"/>
      <c r="BM648" s="11"/>
      <c r="BN648" s="11"/>
      <c r="BO648" s="11"/>
      <c r="BP648" s="11"/>
      <c r="BQ648" s="11"/>
      <c r="BR648" s="11"/>
      <c r="BS648" s="11"/>
      <c r="BT648" s="11"/>
      <c r="BU648" s="11"/>
      <c r="BV648" s="11"/>
      <c r="BW648" s="11"/>
      <c r="BX648" s="11"/>
      <c r="BY648" s="11"/>
      <c r="BZ648" s="11"/>
      <c r="CA648" s="11"/>
      <c r="CB648" s="11"/>
      <c r="CC648" s="17"/>
      <c r="CD648" s="17"/>
      <c r="CE648" s="11"/>
      <c r="CF648" s="13"/>
      <c r="CG648" s="13"/>
      <c r="CH648" s="13"/>
      <c r="CI648" s="13"/>
      <c r="CJ648" s="13"/>
    </row>
    <row r="649" spans="1:88" s="9" customFormat="1" x14ac:dyDescent="0.25">
      <c r="A649" s="10"/>
      <c r="B649" s="10"/>
      <c r="C649" s="10"/>
      <c r="D649" s="10"/>
      <c r="E649" s="11"/>
      <c r="F649" s="10"/>
      <c r="G649" s="10"/>
      <c r="H649" s="10"/>
      <c r="I649" s="10"/>
      <c r="J649" s="10"/>
      <c r="K649" s="12"/>
      <c r="L649" s="10"/>
      <c r="M649" s="10"/>
      <c r="N649" s="13"/>
      <c r="O649" s="10"/>
      <c r="P649" s="10"/>
      <c r="Q649" s="10"/>
      <c r="R649" s="18"/>
      <c r="S649" s="10"/>
      <c r="T649" s="10"/>
      <c r="U649" s="13"/>
      <c r="V649" s="13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3"/>
      <c r="AL649" s="14"/>
      <c r="AM649" s="15"/>
      <c r="AN649" s="15"/>
      <c r="AO649" s="13"/>
      <c r="AP649" s="13"/>
      <c r="AQ649" s="16"/>
      <c r="AR649" s="10"/>
      <c r="AS649" s="10"/>
      <c r="AT649" s="10"/>
      <c r="AU649" s="10"/>
      <c r="AV649" s="11"/>
      <c r="AW649" s="11"/>
      <c r="AX649" s="10"/>
      <c r="AY649" s="11"/>
      <c r="AZ649" s="11"/>
      <c r="BA649" s="11"/>
      <c r="BB649" s="10"/>
      <c r="BC649" s="11"/>
      <c r="BD649" s="11"/>
      <c r="BE649" s="11"/>
      <c r="BF649" s="11"/>
      <c r="BG649" s="11"/>
      <c r="BH649" s="11"/>
      <c r="BI649" s="11"/>
      <c r="BJ649" s="11"/>
      <c r="BK649" s="11"/>
      <c r="BL649" s="11"/>
      <c r="BM649" s="11"/>
      <c r="BN649" s="11"/>
      <c r="BO649" s="11"/>
      <c r="BP649" s="11"/>
      <c r="BQ649" s="11"/>
      <c r="BR649" s="11"/>
      <c r="BS649" s="11"/>
      <c r="BT649" s="11"/>
      <c r="BU649" s="11"/>
      <c r="BV649" s="11"/>
      <c r="BW649" s="11"/>
      <c r="BX649" s="11"/>
      <c r="BY649" s="11"/>
      <c r="BZ649" s="11"/>
      <c r="CA649" s="11"/>
      <c r="CB649" s="11"/>
      <c r="CC649" s="17"/>
      <c r="CD649" s="17"/>
      <c r="CE649" s="11"/>
      <c r="CF649" s="13"/>
      <c r="CG649" s="13"/>
      <c r="CH649" s="13"/>
      <c r="CI649" s="13"/>
      <c r="CJ649" s="13"/>
    </row>
    <row r="650" spans="1:88" s="9" customFormat="1" x14ac:dyDescent="0.25">
      <c r="A650" s="10"/>
      <c r="B650" s="10"/>
      <c r="C650" s="10"/>
      <c r="D650" s="10"/>
      <c r="E650" s="11"/>
      <c r="F650" s="10"/>
      <c r="G650" s="10"/>
      <c r="H650" s="10"/>
      <c r="I650" s="10"/>
      <c r="J650" s="10"/>
      <c r="K650" s="12"/>
      <c r="L650" s="10"/>
      <c r="M650" s="10"/>
      <c r="N650" s="13"/>
      <c r="O650" s="10"/>
      <c r="P650" s="10"/>
      <c r="Q650" s="10"/>
      <c r="R650" s="18"/>
      <c r="S650" s="10"/>
      <c r="T650" s="10"/>
      <c r="U650" s="13"/>
      <c r="V650" s="13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3"/>
      <c r="AL650" s="14"/>
      <c r="AM650" s="15"/>
      <c r="AN650" s="15"/>
      <c r="AO650" s="13"/>
      <c r="AP650" s="13"/>
      <c r="AQ650" s="16"/>
      <c r="AR650" s="10"/>
      <c r="AS650" s="10"/>
      <c r="AT650" s="10"/>
      <c r="AU650" s="10"/>
      <c r="AV650" s="11"/>
      <c r="AW650" s="11"/>
      <c r="AX650" s="10"/>
      <c r="AY650" s="11"/>
      <c r="AZ650" s="11"/>
      <c r="BA650" s="11"/>
      <c r="BB650" s="10"/>
      <c r="BC650" s="11"/>
      <c r="BD650" s="11"/>
      <c r="BE650" s="11"/>
      <c r="BF650" s="11"/>
      <c r="BG650" s="11"/>
      <c r="BH650" s="11"/>
      <c r="BI650" s="11"/>
      <c r="BJ650" s="11"/>
      <c r="BK650" s="11"/>
      <c r="BL650" s="11"/>
      <c r="BM650" s="11"/>
      <c r="BN650" s="11"/>
      <c r="BO650" s="11"/>
      <c r="BP650" s="11"/>
      <c r="BQ650" s="11"/>
      <c r="BR650" s="11"/>
      <c r="BS650" s="11"/>
      <c r="BT650" s="11"/>
      <c r="BU650" s="11"/>
      <c r="BV650" s="11"/>
      <c r="BW650" s="11"/>
      <c r="BX650" s="11"/>
      <c r="BY650" s="11"/>
      <c r="BZ650" s="11"/>
      <c r="CA650" s="11"/>
      <c r="CB650" s="11"/>
      <c r="CC650" s="17"/>
      <c r="CD650" s="17"/>
      <c r="CE650" s="11"/>
      <c r="CF650" s="13"/>
      <c r="CG650" s="13"/>
      <c r="CH650" s="13"/>
      <c r="CI650" s="13"/>
      <c r="CJ650" s="13"/>
    </row>
    <row r="651" spans="1:88" s="9" customFormat="1" x14ac:dyDescent="0.25">
      <c r="A651" s="10"/>
      <c r="B651" s="10"/>
      <c r="C651" s="10"/>
      <c r="D651" s="10"/>
      <c r="E651" s="11"/>
      <c r="F651" s="10"/>
      <c r="G651" s="10"/>
      <c r="H651" s="10"/>
      <c r="I651" s="10"/>
      <c r="J651" s="10"/>
      <c r="K651" s="12"/>
      <c r="L651" s="10"/>
      <c r="M651" s="10"/>
      <c r="N651" s="13"/>
      <c r="O651" s="10"/>
      <c r="P651" s="10"/>
      <c r="Q651" s="10"/>
      <c r="R651" s="18"/>
      <c r="S651" s="10"/>
      <c r="T651" s="10"/>
      <c r="U651" s="13"/>
      <c r="V651" s="13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3"/>
      <c r="AL651" s="14"/>
      <c r="AM651" s="15"/>
      <c r="AN651" s="15"/>
      <c r="AO651" s="13"/>
      <c r="AP651" s="13"/>
      <c r="AQ651" s="16"/>
      <c r="AR651" s="10"/>
      <c r="AS651" s="10"/>
      <c r="AT651" s="10"/>
      <c r="AU651" s="10"/>
      <c r="AV651" s="11"/>
      <c r="AW651" s="11"/>
      <c r="AX651" s="10"/>
      <c r="AY651" s="11"/>
      <c r="AZ651" s="11"/>
      <c r="BA651" s="11"/>
      <c r="BB651" s="10"/>
      <c r="BC651" s="11"/>
      <c r="BD651" s="11"/>
      <c r="BE651" s="11"/>
      <c r="BF651" s="11"/>
      <c r="BG651" s="11"/>
      <c r="BH651" s="11"/>
      <c r="BI651" s="11"/>
      <c r="BJ651" s="11"/>
      <c r="BK651" s="11"/>
      <c r="BL651" s="11"/>
      <c r="BM651" s="11"/>
      <c r="BN651" s="11"/>
      <c r="BO651" s="11"/>
      <c r="BP651" s="11"/>
      <c r="BQ651" s="11"/>
      <c r="BR651" s="11"/>
      <c r="BS651" s="11"/>
      <c r="BT651" s="11"/>
      <c r="BU651" s="11"/>
      <c r="BV651" s="11"/>
      <c r="BW651" s="11"/>
      <c r="BX651" s="11"/>
      <c r="BY651" s="11"/>
      <c r="BZ651" s="11"/>
      <c r="CA651" s="11"/>
      <c r="CB651" s="11"/>
      <c r="CC651" s="17"/>
      <c r="CD651" s="17"/>
      <c r="CE651" s="11"/>
      <c r="CF651" s="13"/>
      <c r="CG651" s="13"/>
      <c r="CH651" s="13"/>
      <c r="CI651" s="13"/>
      <c r="CJ651" s="13"/>
    </row>
    <row r="652" spans="1:88" s="9" customFormat="1" x14ac:dyDescent="0.25">
      <c r="A652" s="10"/>
      <c r="B652" s="10"/>
      <c r="C652" s="10"/>
      <c r="D652" s="10"/>
      <c r="E652" s="11"/>
      <c r="F652" s="10"/>
      <c r="G652" s="10"/>
      <c r="H652" s="10"/>
      <c r="I652" s="10"/>
      <c r="J652" s="10"/>
      <c r="K652" s="12"/>
      <c r="L652" s="10"/>
      <c r="M652" s="10"/>
      <c r="N652" s="13"/>
      <c r="O652" s="10"/>
      <c r="P652" s="10"/>
      <c r="Q652" s="10"/>
      <c r="R652" s="18"/>
      <c r="S652" s="10"/>
      <c r="T652" s="10"/>
      <c r="U652" s="13"/>
      <c r="V652" s="13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3"/>
      <c r="AL652" s="14"/>
      <c r="AM652" s="15"/>
      <c r="AN652" s="15"/>
      <c r="AO652" s="13"/>
      <c r="AP652" s="13"/>
      <c r="AQ652" s="16"/>
      <c r="AR652" s="10"/>
      <c r="AS652" s="10"/>
      <c r="AT652" s="10"/>
      <c r="AU652" s="10"/>
      <c r="AV652" s="11"/>
      <c r="AW652" s="11"/>
      <c r="AX652" s="10"/>
      <c r="AY652" s="11"/>
      <c r="AZ652" s="11"/>
      <c r="BA652" s="11"/>
      <c r="BB652" s="10"/>
      <c r="BC652" s="11"/>
      <c r="BD652" s="11"/>
      <c r="BE652" s="11"/>
      <c r="BF652" s="11"/>
      <c r="BG652" s="11"/>
      <c r="BH652" s="11"/>
      <c r="BI652" s="11"/>
      <c r="BJ652" s="11"/>
      <c r="BK652" s="11"/>
      <c r="BL652" s="11"/>
      <c r="BM652" s="11"/>
      <c r="BN652" s="11"/>
      <c r="BO652" s="11"/>
      <c r="BP652" s="11"/>
      <c r="BQ652" s="11"/>
      <c r="BR652" s="11"/>
      <c r="BS652" s="11"/>
      <c r="BT652" s="11"/>
      <c r="BU652" s="11"/>
      <c r="BV652" s="11"/>
      <c r="BW652" s="11"/>
      <c r="BX652" s="11"/>
      <c r="BY652" s="11"/>
      <c r="BZ652" s="11"/>
      <c r="CA652" s="11"/>
      <c r="CB652" s="11"/>
      <c r="CC652" s="17"/>
      <c r="CD652" s="17"/>
      <c r="CE652" s="11"/>
      <c r="CF652" s="13"/>
      <c r="CG652" s="13"/>
      <c r="CH652" s="13"/>
      <c r="CI652" s="13"/>
      <c r="CJ652" s="13"/>
    </row>
    <row r="653" spans="1:88" s="9" customFormat="1" x14ac:dyDescent="0.25">
      <c r="A653" s="10"/>
      <c r="B653" s="10"/>
      <c r="C653" s="10"/>
      <c r="D653" s="10"/>
      <c r="E653" s="11"/>
      <c r="F653" s="10"/>
      <c r="G653" s="10"/>
      <c r="H653" s="10"/>
      <c r="I653" s="10"/>
      <c r="J653" s="10"/>
      <c r="K653" s="12"/>
      <c r="L653" s="10"/>
      <c r="M653" s="10"/>
      <c r="N653" s="13"/>
      <c r="O653" s="10"/>
      <c r="P653" s="10"/>
      <c r="Q653" s="10"/>
      <c r="R653" s="18"/>
      <c r="S653" s="10"/>
      <c r="T653" s="10"/>
      <c r="U653" s="13"/>
      <c r="V653" s="13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3"/>
      <c r="AL653" s="14"/>
      <c r="AM653" s="15"/>
      <c r="AN653" s="15"/>
      <c r="AO653" s="13"/>
      <c r="AP653" s="13"/>
      <c r="AQ653" s="16"/>
      <c r="AR653" s="10"/>
      <c r="AS653" s="10"/>
      <c r="AT653" s="10"/>
      <c r="AU653" s="10"/>
      <c r="AV653" s="11"/>
      <c r="AW653" s="11"/>
      <c r="AX653" s="10"/>
      <c r="AY653" s="11"/>
      <c r="AZ653" s="11"/>
      <c r="BA653" s="11"/>
      <c r="BB653" s="10"/>
      <c r="BC653" s="11"/>
      <c r="BD653" s="11"/>
      <c r="BE653" s="11"/>
      <c r="BF653" s="11"/>
      <c r="BG653" s="11"/>
      <c r="BH653" s="11"/>
      <c r="BI653" s="11"/>
      <c r="BJ653" s="11"/>
      <c r="BK653" s="11"/>
      <c r="BL653" s="11"/>
      <c r="BM653" s="11"/>
      <c r="BN653" s="11"/>
      <c r="BO653" s="11"/>
      <c r="BP653" s="11"/>
      <c r="BQ653" s="11"/>
      <c r="BR653" s="11"/>
      <c r="BS653" s="11"/>
      <c r="BT653" s="11"/>
      <c r="BU653" s="11"/>
      <c r="BV653" s="11"/>
      <c r="BW653" s="11"/>
      <c r="BX653" s="11"/>
      <c r="BY653" s="11"/>
      <c r="BZ653" s="11"/>
      <c r="CA653" s="11"/>
      <c r="CB653" s="11"/>
      <c r="CC653" s="17"/>
      <c r="CD653" s="17"/>
      <c r="CE653" s="11"/>
      <c r="CF653" s="13"/>
      <c r="CG653" s="13"/>
      <c r="CH653" s="13"/>
      <c r="CI653" s="13"/>
      <c r="CJ653" s="13"/>
    </row>
    <row r="654" spans="1:88" s="9" customFormat="1" x14ac:dyDescent="0.25">
      <c r="A654" s="10"/>
      <c r="B654" s="10"/>
      <c r="C654" s="10"/>
      <c r="D654" s="10"/>
      <c r="E654" s="11"/>
      <c r="F654" s="10"/>
      <c r="G654" s="10"/>
      <c r="H654" s="10"/>
      <c r="I654" s="10"/>
      <c r="J654" s="10"/>
      <c r="K654" s="12"/>
      <c r="L654" s="10"/>
      <c r="M654" s="10"/>
      <c r="N654" s="13"/>
      <c r="O654" s="10"/>
      <c r="P654" s="10"/>
      <c r="Q654" s="10"/>
      <c r="R654" s="18"/>
      <c r="S654" s="10"/>
      <c r="T654" s="10"/>
      <c r="U654" s="13"/>
      <c r="V654" s="13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3"/>
      <c r="AL654" s="14"/>
      <c r="AM654" s="15"/>
      <c r="AN654" s="15"/>
      <c r="AO654" s="13"/>
      <c r="AP654" s="13"/>
      <c r="AQ654" s="16"/>
      <c r="AR654" s="10"/>
      <c r="AS654" s="10"/>
      <c r="AT654" s="10"/>
      <c r="AU654" s="10"/>
      <c r="AV654" s="11"/>
      <c r="AW654" s="11"/>
      <c r="AX654" s="10"/>
      <c r="AY654" s="11"/>
      <c r="AZ654" s="11"/>
      <c r="BA654" s="11"/>
      <c r="BB654" s="10"/>
      <c r="BC654" s="11"/>
      <c r="BD654" s="11"/>
      <c r="BE654" s="11"/>
      <c r="BF654" s="11"/>
      <c r="BG654" s="11"/>
      <c r="BH654" s="11"/>
      <c r="BI654" s="11"/>
      <c r="BJ654" s="11"/>
      <c r="BK654" s="11"/>
      <c r="BL654" s="11"/>
      <c r="BM654" s="11"/>
      <c r="BN654" s="11"/>
      <c r="BO654" s="11"/>
      <c r="BP654" s="11"/>
      <c r="BQ654" s="11"/>
      <c r="BR654" s="11"/>
      <c r="BS654" s="11"/>
      <c r="BT654" s="11"/>
      <c r="BU654" s="11"/>
      <c r="BV654" s="11"/>
      <c r="BW654" s="11"/>
      <c r="BX654" s="11"/>
      <c r="BY654" s="11"/>
      <c r="BZ654" s="11"/>
      <c r="CA654" s="11"/>
      <c r="CB654" s="11"/>
      <c r="CC654" s="17"/>
      <c r="CD654" s="17"/>
      <c r="CE654" s="11"/>
      <c r="CF654" s="13"/>
      <c r="CG654" s="13"/>
      <c r="CH654" s="13"/>
      <c r="CI654" s="13"/>
      <c r="CJ654" s="13"/>
    </row>
    <row r="655" spans="1:88" s="9" customFormat="1" x14ac:dyDescent="0.25">
      <c r="A655" s="10"/>
      <c r="B655" s="10"/>
      <c r="C655" s="10"/>
      <c r="D655" s="10"/>
      <c r="E655" s="11"/>
      <c r="F655" s="10"/>
      <c r="G655" s="10"/>
      <c r="H655" s="10"/>
      <c r="I655" s="10"/>
      <c r="J655" s="10"/>
      <c r="K655" s="12"/>
      <c r="L655" s="10"/>
      <c r="M655" s="10"/>
      <c r="N655" s="13"/>
      <c r="O655" s="10"/>
      <c r="P655" s="10"/>
      <c r="Q655" s="10"/>
      <c r="R655" s="18"/>
      <c r="S655" s="10"/>
      <c r="T655" s="10"/>
      <c r="U655" s="13"/>
      <c r="V655" s="13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3"/>
      <c r="AL655" s="14"/>
      <c r="AM655" s="15"/>
      <c r="AN655" s="15"/>
      <c r="AO655" s="13"/>
      <c r="AP655" s="13"/>
      <c r="AQ655" s="16"/>
      <c r="AR655" s="10"/>
      <c r="AS655" s="10"/>
      <c r="AT655" s="10"/>
      <c r="AU655" s="10"/>
      <c r="AV655" s="11"/>
      <c r="AW655" s="11"/>
      <c r="AX655" s="10"/>
      <c r="AY655" s="11"/>
      <c r="AZ655" s="11"/>
      <c r="BA655" s="11"/>
      <c r="BB655" s="10"/>
      <c r="BC655" s="11"/>
      <c r="BD655" s="11"/>
      <c r="BE655" s="11"/>
      <c r="BF655" s="11"/>
      <c r="BG655" s="11"/>
      <c r="BH655" s="11"/>
      <c r="BI655" s="11"/>
      <c r="BJ655" s="11"/>
      <c r="BK655" s="11"/>
      <c r="BL655" s="11"/>
      <c r="BM655" s="11"/>
      <c r="BN655" s="11"/>
      <c r="BO655" s="11"/>
      <c r="BP655" s="11"/>
      <c r="BQ655" s="11"/>
      <c r="BR655" s="11"/>
      <c r="BS655" s="11"/>
      <c r="BT655" s="11"/>
      <c r="BU655" s="11"/>
      <c r="BV655" s="11"/>
      <c r="BW655" s="11"/>
      <c r="BX655" s="11"/>
      <c r="BY655" s="11"/>
      <c r="BZ655" s="11"/>
      <c r="CA655" s="11"/>
      <c r="CB655" s="11"/>
      <c r="CC655" s="17"/>
      <c r="CD655" s="17"/>
      <c r="CE655" s="11"/>
      <c r="CF655" s="13"/>
      <c r="CG655" s="13"/>
      <c r="CH655" s="13"/>
      <c r="CI655" s="13"/>
      <c r="CJ655" s="13"/>
    </row>
    <row r="656" spans="1:88" s="9" customFormat="1" x14ac:dyDescent="0.25">
      <c r="A656" s="10"/>
      <c r="B656" s="10"/>
      <c r="C656" s="10"/>
      <c r="D656" s="10"/>
      <c r="E656" s="11"/>
      <c r="F656" s="10"/>
      <c r="G656" s="10"/>
      <c r="H656" s="10"/>
      <c r="I656" s="10"/>
      <c r="J656" s="10"/>
      <c r="K656" s="12"/>
      <c r="L656" s="10"/>
      <c r="M656" s="10"/>
      <c r="N656" s="13"/>
      <c r="O656" s="10"/>
      <c r="P656" s="10"/>
      <c r="Q656" s="10"/>
      <c r="R656" s="18"/>
      <c r="S656" s="10"/>
      <c r="T656" s="10"/>
      <c r="U656" s="13"/>
      <c r="V656" s="13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3"/>
      <c r="AL656" s="14"/>
      <c r="AM656" s="15"/>
      <c r="AN656" s="15"/>
      <c r="AO656" s="13"/>
      <c r="AP656" s="13"/>
      <c r="AQ656" s="16"/>
      <c r="AR656" s="10"/>
      <c r="AS656" s="10"/>
      <c r="AT656" s="10"/>
      <c r="AU656" s="10"/>
      <c r="AV656" s="11"/>
      <c r="AW656" s="11"/>
      <c r="AX656" s="10"/>
      <c r="AY656" s="11"/>
      <c r="AZ656" s="11"/>
      <c r="BA656" s="11"/>
      <c r="BB656" s="10"/>
      <c r="BC656" s="11"/>
      <c r="BD656" s="11"/>
      <c r="BE656" s="11"/>
      <c r="BF656" s="11"/>
      <c r="BG656" s="11"/>
      <c r="BH656" s="11"/>
      <c r="BI656" s="11"/>
      <c r="BJ656" s="11"/>
      <c r="BK656" s="11"/>
      <c r="BL656" s="11"/>
      <c r="BM656" s="11"/>
      <c r="BN656" s="11"/>
      <c r="BO656" s="11"/>
      <c r="BP656" s="11"/>
      <c r="BQ656" s="11"/>
      <c r="BR656" s="11"/>
      <c r="BS656" s="11"/>
      <c r="BT656" s="11"/>
      <c r="BU656" s="11"/>
      <c r="BV656" s="11"/>
      <c r="BW656" s="11"/>
      <c r="BX656" s="11"/>
      <c r="BY656" s="11"/>
      <c r="BZ656" s="11"/>
      <c r="CA656" s="11"/>
      <c r="CB656" s="11"/>
      <c r="CC656" s="17"/>
      <c r="CD656" s="17"/>
      <c r="CE656" s="11"/>
      <c r="CF656" s="13"/>
      <c r="CG656" s="13"/>
      <c r="CH656" s="13"/>
      <c r="CI656" s="13"/>
      <c r="CJ656" s="13"/>
    </row>
    <row r="657" spans="1:88" s="9" customFormat="1" x14ac:dyDescent="0.25">
      <c r="A657" s="10"/>
      <c r="B657" s="10"/>
      <c r="C657" s="10"/>
      <c r="D657" s="10"/>
      <c r="E657" s="11"/>
      <c r="F657" s="10"/>
      <c r="G657" s="10"/>
      <c r="H657" s="10"/>
      <c r="I657" s="10"/>
      <c r="J657" s="10"/>
      <c r="K657" s="12"/>
      <c r="L657" s="10"/>
      <c r="M657" s="10"/>
      <c r="N657" s="13"/>
      <c r="O657" s="10"/>
      <c r="P657" s="10"/>
      <c r="Q657" s="10"/>
      <c r="R657" s="18"/>
      <c r="S657" s="10"/>
      <c r="T657" s="10"/>
      <c r="U657" s="13"/>
      <c r="V657" s="13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3"/>
      <c r="AL657" s="14"/>
      <c r="AM657" s="15"/>
      <c r="AN657" s="15"/>
      <c r="AO657" s="13"/>
      <c r="AP657" s="13"/>
      <c r="AQ657" s="16"/>
      <c r="AR657" s="10"/>
      <c r="AS657" s="10"/>
      <c r="AT657" s="10"/>
      <c r="AU657" s="10"/>
      <c r="AV657" s="11"/>
      <c r="AW657" s="11"/>
      <c r="AX657" s="10"/>
      <c r="AY657" s="11"/>
      <c r="AZ657" s="11"/>
      <c r="BA657" s="11"/>
      <c r="BB657" s="10"/>
      <c r="BC657" s="11"/>
      <c r="BD657" s="11"/>
      <c r="BE657" s="11"/>
      <c r="BF657" s="11"/>
      <c r="BG657" s="11"/>
      <c r="BH657" s="11"/>
      <c r="BI657" s="11"/>
      <c r="BJ657" s="11"/>
      <c r="BK657" s="11"/>
      <c r="BL657" s="11"/>
      <c r="BM657" s="11"/>
      <c r="BN657" s="11"/>
      <c r="BO657" s="11"/>
      <c r="BP657" s="11"/>
      <c r="BQ657" s="11"/>
      <c r="BR657" s="11"/>
      <c r="BS657" s="11"/>
      <c r="BT657" s="11"/>
      <c r="BU657" s="11"/>
      <c r="BV657" s="11"/>
      <c r="BW657" s="11"/>
      <c r="BX657" s="11"/>
      <c r="BY657" s="11"/>
      <c r="BZ657" s="11"/>
      <c r="CA657" s="11"/>
      <c r="CB657" s="11"/>
      <c r="CC657" s="17"/>
      <c r="CD657" s="17"/>
      <c r="CE657" s="11"/>
      <c r="CF657" s="13"/>
      <c r="CG657" s="13"/>
      <c r="CH657" s="13"/>
      <c r="CI657" s="13"/>
      <c r="CJ657" s="13"/>
    </row>
    <row r="658" spans="1:88" s="9" customFormat="1" x14ac:dyDescent="0.25">
      <c r="A658" s="10"/>
      <c r="B658" s="10"/>
      <c r="C658" s="10"/>
      <c r="D658" s="10"/>
      <c r="E658" s="11"/>
      <c r="F658" s="10"/>
      <c r="G658" s="10"/>
      <c r="H658" s="10"/>
      <c r="I658" s="10"/>
      <c r="J658" s="10"/>
      <c r="K658" s="12"/>
      <c r="L658" s="10"/>
      <c r="M658" s="10"/>
      <c r="N658" s="13"/>
      <c r="O658" s="10"/>
      <c r="P658" s="10"/>
      <c r="Q658" s="10"/>
      <c r="R658" s="18"/>
      <c r="S658" s="10"/>
      <c r="T658" s="10"/>
      <c r="U658" s="13"/>
      <c r="V658" s="13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3"/>
      <c r="AL658" s="14"/>
      <c r="AM658" s="15"/>
      <c r="AN658" s="15"/>
      <c r="AO658" s="13"/>
      <c r="AP658" s="13"/>
      <c r="AQ658" s="16"/>
      <c r="AR658" s="10"/>
      <c r="AS658" s="10"/>
      <c r="AT658" s="10"/>
      <c r="AU658" s="10"/>
      <c r="AV658" s="11"/>
      <c r="AW658" s="11"/>
      <c r="AX658" s="10"/>
      <c r="AY658" s="11"/>
      <c r="AZ658" s="11"/>
      <c r="BA658" s="11"/>
      <c r="BB658" s="10"/>
      <c r="BC658" s="11"/>
      <c r="BD658" s="11"/>
      <c r="BE658" s="11"/>
      <c r="BF658" s="11"/>
      <c r="BG658" s="11"/>
      <c r="BH658" s="11"/>
      <c r="BI658" s="11"/>
      <c r="BJ658" s="11"/>
      <c r="BK658" s="11"/>
      <c r="BL658" s="11"/>
      <c r="BM658" s="11"/>
      <c r="BN658" s="11"/>
      <c r="BO658" s="11"/>
      <c r="BP658" s="11"/>
      <c r="BQ658" s="11"/>
      <c r="BR658" s="11"/>
      <c r="BS658" s="11"/>
      <c r="BT658" s="11"/>
      <c r="BU658" s="11"/>
      <c r="BV658" s="11"/>
      <c r="BW658" s="11"/>
      <c r="BX658" s="11"/>
      <c r="BY658" s="11"/>
      <c r="BZ658" s="11"/>
      <c r="CA658" s="11"/>
      <c r="CB658" s="11"/>
      <c r="CC658" s="17"/>
      <c r="CD658" s="17"/>
      <c r="CE658" s="11"/>
      <c r="CF658" s="13"/>
      <c r="CG658" s="13"/>
      <c r="CH658" s="13"/>
      <c r="CI658" s="13"/>
      <c r="CJ658" s="13"/>
    </row>
    <row r="659" spans="1:88" s="9" customFormat="1" x14ac:dyDescent="0.25">
      <c r="A659" s="10"/>
      <c r="B659" s="10"/>
      <c r="C659" s="10"/>
      <c r="D659" s="10"/>
      <c r="E659" s="11"/>
      <c r="F659" s="10"/>
      <c r="G659" s="10"/>
      <c r="H659" s="10"/>
      <c r="I659" s="10"/>
      <c r="J659" s="10"/>
      <c r="K659" s="12"/>
      <c r="L659" s="10"/>
      <c r="M659" s="10"/>
      <c r="N659" s="13"/>
      <c r="O659" s="10"/>
      <c r="P659" s="10"/>
      <c r="Q659" s="10"/>
      <c r="R659" s="18"/>
      <c r="S659" s="10"/>
      <c r="T659" s="10"/>
      <c r="U659" s="13"/>
      <c r="V659" s="13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3"/>
      <c r="AL659" s="14"/>
      <c r="AM659" s="15"/>
      <c r="AN659" s="15"/>
      <c r="AO659" s="13"/>
      <c r="AP659" s="13"/>
      <c r="AQ659" s="16"/>
      <c r="AR659" s="10"/>
      <c r="AS659" s="10"/>
      <c r="AT659" s="10"/>
      <c r="AU659" s="10"/>
      <c r="AV659" s="11"/>
      <c r="AW659" s="11"/>
      <c r="AX659" s="10"/>
      <c r="AY659" s="11"/>
      <c r="AZ659" s="11"/>
      <c r="BA659" s="11"/>
      <c r="BB659" s="10"/>
      <c r="BC659" s="11"/>
      <c r="BD659" s="11"/>
      <c r="BE659" s="11"/>
      <c r="BF659" s="11"/>
      <c r="BG659" s="11"/>
      <c r="BH659" s="11"/>
      <c r="BI659" s="11"/>
      <c r="BJ659" s="11"/>
      <c r="BK659" s="11"/>
      <c r="BL659" s="11"/>
      <c r="BM659" s="11"/>
      <c r="BN659" s="11"/>
      <c r="BO659" s="11"/>
      <c r="BP659" s="11"/>
      <c r="BQ659" s="11"/>
      <c r="BR659" s="11"/>
      <c r="BS659" s="11"/>
      <c r="BT659" s="11"/>
      <c r="BU659" s="11"/>
      <c r="BV659" s="11"/>
      <c r="BW659" s="11"/>
      <c r="BX659" s="11"/>
      <c r="BY659" s="11"/>
      <c r="BZ659" s="11"/>
      <c r="CA659" s="11"/>
      <c r="CB659" s="11"/>
      <c r="CC659" s="17"/>
      <c r="CD659" s="17"/>
      <c r="CE659" s="11"/>
      <c r="CF659" s="13"/>
      <c r="CG659" s="13"/>
      <c r="CH659" s="13"/>
      <c r="CI659" s="13"/>
      <c r="CJ659" s="13"/>
    </row>
    <row r="660" spans="1:88" s="9" customFormat="1" x14ac:dyDescent="0.25">
      <c r="A660" s="10"/>
      <c r="B660" s="10"/>
      <c r="C660" s="10"/>
      <c r="D660" s="10"/>
      <c r="E660" s="11"/>
      <c r="F660" s="10"/>
      <c r="G660" s="10"/>
      <c r="H660" s="10"/>
      <c r="I660" s="10"/>
      <c r="J660" s="10"/>
      <c r="K660" s="12"/>
      <c r="L660" s="10"/>
      <c r="M660" s="10"/>
      <c r="N660" s="13"/>
      <c r="O660" s="10"/>
      <c r="P660" s="10"/>
      <c r="Q660" s="10"/>
      <c r="R660" s="18"/>
      <c r="S660" s="10"/>
      <c r="T660" s="10"/>
      <c r="U660" s="13"/>
      <c r="V660" s="13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3"/>
      <c r="AL660" s="14"/>
      <c r="AM660" s="15"/>
      <c r="AN660" s="15"/>
      <c r="AO660" s="13"/>
      <c r="AP660" s="13"/>
      <c r="AQ660" s="16"/>
      <c r="AR660" s="10"/>
      <c r="AS660" s="10"/>
      <c r="AT660" s="10"/>
      <c r="AU660" s="10"/>
      <c r="AV660" s="11"/>
      <c r="AW660" s="11"/>
      <c r="AX660" s="10"/>
      <c r="AY660" s="11"/>
      <c r="AZ660" s="11"/>
      <c r="BA660" s="11"/>
      <c r="BB660" s="10"/>
      <c r="BC660" s="11"/>
      <c r="BD660" s="11"/>
      <c r="BE660" s="11"/>
      <c r="BF660" s="11"/>
      <c r="BG660" s="11"/>
      <c r="BH660" s="11"/>
      <c r="BI660" s="11"/>
      <c r="BJ660" s="11"/>
      <c r="BK660" s="11"/>
      <c r="BL660" s="11"/>
      <c r="BM660" s="11"/>
      <c r="BN660" s="11"/>
      <c r="BO660" s="11"/>
      <c r="BP660" s="11"/>
      <c r="BQ660" s="11"/>
      <c r="BR660" s="11"/>
      <c r="BS660" s="11"/>
      <c r="BT660" s="11"/>
      <c r="BU660" s="11"/>
      <c r="BV660" s="11"/>
      <c r="BW660" s="11"/>
      <c r="BX660" s="11"/>
      <c r="BY660" s="11"/>
      <c r="BZ660" s="11"/>
      <c r="CA660" s="11"/>
      <c r="CB660" s="11"/>
      <c r="CC660" s="17"/>
      <c r="CD660" s="17"/>
      <c r="CE660" s="11"/>
      <c r="CF660" s="13"/>
      <c r="CG660" s="13"/>
      <c r="CH660" s="13"/>
      <c r="CI660" s="13"/>
      <c r="CJ660" s="13"/>
    </row>
    <row r="661" spans="1:88" s="9" customFormat="1" x14ac:dyDescent="0.25">
      <c r="A661" s="10"/>
      <c r="B661" s="10"/>
      <c r="C661" s="10"/>
      <c r="D661" s="10"/>
      <c r="E661" s="11"/>
      <c r="F661" s="10"/>
      <c r="G661" s="10"/>
      <c r="H661" s="10"/>
      <c r="I661" s="10"/>
      <c r="J661" s="10"/>
      <c r="K661" s="12"/>
      <c r="L661" s="10"/>
      <c r="M661" s="10"/>
      <c r="N661" s="13"/>
      <c r="O661" s="10"/>
      <c r="P661" s="10"/>
      <c r="Q661" s="10"/>
      <c r="R661" s="18"/>
      <c r="S661" s="10"/>
      <c r="T661" s="10"/>
      <c r="U661" s="13"/>
      <c r="V661" s="13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3"/>
      <c r="AL661" s="14"/>
      <c r="AM661" s="15"/>
      <c r="AN661" s="15"/>
      <c r="AO661" s="13"/>
      <c r="AP661" s="13"/>
      <c r="AQ661" s="16"/>
      <c r="AR661" s="10"/>
      <c r="AS661" s="10"/>
      <c r="AT661" s="10"/>
      <c r="AU661" s="10"/>
      <c r="AV661" s="11"/>
      <c r="AW661" s="11"/>
      <c r="AX661" s="10"/>
      <c r="AY661" s="11"/>
      <c r="AZ661" s="11"/>
      <c r="BA661" s="11"/>
      <c r="BB661" s="10"/>
      <c r="BC661" s="11"/>
      <c r="BD661" s="11"/>
      <c r="BE661" s="11"/>
      <c r="BF661" s="11"/>
      <c r="BG661" s="11"/>
      <c r="BH661" s="11"/>
      <c r="BI661" s="11"/>
      <c r="BJ661" s="11"/>
      <c r="BK661" s="11"/>
      <c r="BL661" s="11"/>
      <c r="BM661" s="11"/>
      <c r="BN661" s="11"/>
      <c r="BO661" s="11"/>
      <c r="BP661" s="11"/>
      <c r="BQ661" s="11"/>
      <c r="BR661" s="11"/>
      <c r="BS661" s="11"/>
      <c r="BT661" s="11"/>
      <c r="BU661" s="11"/>
      <c r="BV661" s="11"/>
      <c r="BW661" s="11"/>
      <c r="BX661" s="11"/>
      <c r="BY661" s="11"/>
      <c r="BZ661" s="11"/>
      <c r="CA661" s="11"/>
      <c r="CB661" s="11"/>
      <c r="CC661" s="17"/>
      <c r="CD661" s="17"/>
      <c r="CE661" s="11"/>
      <c r="CF661" s="13"/>
      <c r="CG661" s="13"/>
      <c r="CH661" s="13"/>
      <c r="CI661" s="13"/>
      <c r="CJ661" s="13"/>
    </row>
    <row r="662" spans="1:88" s="9" customFormat="1" x14ac:dyDescent="0.25">
      <c r="A662" s="10"/>
      <c r="B662" s="10"/>
      <c r="C662" s="10"/>
      <c r="D662" s="10"/>
      <c r="E662" s="11"/>
      <c r="F662" s="10"/>
      <c r="G662" s="10"/>
      <c r="H662" s="10"/>
      <c r="I662" s="10"/>
      <c r="J662" s="10"/>
      <c r="K662" s="12"/>
      <c r="L662" s="10"/>
      <c r="M662" s="10"/>
      <c r="N662" s="13"/>
      <c r="O662" s="10"/>
      <c r="P662" s="10"/>
      <c r="Q662" s="10"/>
      <c r="R662" s="18"/>
      <c r="S662" s="10"/>
      <c r="T662" s="10"/>
      <c r="U662" s="13"/>
      <c r="V662" s="13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3"/>
      <c r="AL662" s="14"/>
      <c r="AM662" s="15"/>
      <c r="AN662" s="15"/>
      <c r="AO662" s="13"/>
      <c r="AP662" s="13"/>
      <c r="AQ662" s="16"/>
      <c r="AR662" s="10"/>
      <c r="AS662" s="10"/>
      <c r="AT662" s="10"/>
      <c r="AU662" s="10"/>
      <c r="AV662" s="11"/>
      <c r="AW662" s="11"/>
      <c r="AX662" s="10"/>
      <c r="AY662" s="11"/>
      <c r="AZ662" s="11"/>
      <c r="BA662" s="11"/>
      <c r="BB662" s="10"/>
      <c r="BC662" s="11"/>
      <c r="BD662" s="11"/>
      <c r="BE662" s="11"/>
      <c r="BF662" s="11"/>
      <c r="BG662" s="11"/>
      <c r="BH662" s="11"/>
      <c r="BI662" s="11"/>
      <c r="BJ662" s="11"/>
      <c r="BK662" s="11"/>
      <c r="BL662" s="11"/>
      <c r="BM662" s="11"/>
      <c r="BN662" s="11"/>
      <c r="BO662" s="11"/>
      <c r="BP662" s="11"/>
      <c r="BQ662" s="11"/>
      <c r="BR662" s="11"/>
      <c r="BS662" s="11"/>
      <c r="BT662" s="11"/>
      <c r="BU662" s="11"/>
      <c r="BV662" s="11"/>
      <c r="BW662" s="11"/>
      <c r="BX662" s="11"/>
      <c r="BY662" s="11"/>
      <c r="BZ662" s="11"/>
      <c r="CA662" s="11"/>
      <c r="CB662" s="11"/>
      <c r="CC662" s="17"/>
      <c r="CD662" s="17"/>
      <c r="CE662" s="11"/>
      <c r="CF662" s="13"/>
      <c r="CG662" s="13"/>
      <c r="CH662" s="13"/>
      <c r="CI662" s="13"/>
      <c r="CJ662" s="13"/>
    </row>
    <row r="663" spans="1:88" s="9" customFormat="1" x14ac:dyDescent="0.25">
      <c r="A663" s="10"/>
      <c r="B663" s="10"/>
      <c r="C663" s="10"/>
      <c r="D663" s="10"/>
      <c r="E663" s="11"/>
      <c r="F663" s="10"/>
      <c r="G663" s="10"/>
      <c r="H663" s="10"/>
      <c r="I663" s="10"/>
      <c r="J663" s="10"/>
      <c r="K663" s="12"/>
      <c r="L663" s="10"/>
      <c r="M663" s="10"/>
      <c r="N663" s="13"/>
      <c r="O663" s="10"/>
      <c r="P663" s="10"/>
      <c r="Q663" s="10"/>
      <c r="R663" s="18"/>
      <c r="S663" s="10"/>
      <c r="T663" s="10"/>
      <c r="U663" s="13"/>
      <c r="V663" s="13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3"/>
      <c r="AL663" s="14"/>
      <c r="AM663" s="15"/>
      <c r="AN663" s="15"/>
      <c r="AO663" s="13"/>
      <c r="AP663" s="13"/>
      <c r="AQ663" s="16"/>
      <c r="AR663" s="10"/>
      <c r="AS663" s="10"/>
      <c r="AT663" s="10"/>
      <c r="AU663" s="10"/>
      <c r="AV663" s="11"/>
      <c r="AW663" s="11"/>
      <c r="AX663" s="10"/>
      <c r="AY663" s="11"/>
      <c r="AZ663" s="11"/>
      <c r="BA663" s="11"/>
      <c r="BB663" s="10"/>
      <c r="BC663" s="11"/>
      <c r="BD663" s="11"/>
      <c r="BE663" s="11"/>
      <c r="BF663" s="11"/>
      <c r="BG663" s="11"/>
      <c r="BH663" s="11"/>
      <c r="BI663" s="11"/>
      <c r="BJ663" s="11"/>
      <c r="BK663" s="11"/>
      <c r="BL663" s="11"/>
      <c r="BM663" s="11"/>
      <c r="BN663" s="11"/>
      <c r="BO663" s="11"/>
      <c r="BP663" s="11"/>
      <c r="BQ663" s="11"/>
      <c r="BR663" s="11"/>
      <c r="BS663" s="11"/>
      <c r="BT663" s="11"/>
      <c r="BU663" s="11"/>
      <c r="BV663" s="11"/>
      <c r="BW663" s="11"/>
      <c r="BX663" s="11"/>
      <c r="BY663" s="11"/>
      <c r="BZ663" s="11"/>
      <c r="CA663" s="11"/>
      <c r="CB663" s="11"/>
      <c r="CC663" s="17"/>
      <c r="CD663" s="17"/>
      <c r="CE663" s="11"/>
      <c r="CF663" s="13"/>
      <c r="CG663" s="13"/>
      <c r="CH663" s="13"/>
      <c r="CI663" s="13"/>
      <c r="CJ663" s="13"/>
    </row>
    <row r="664" spans="1:88" s="9" customFormat="1" x14ac:dyDescent="0.25">
      <c r="A664" s="10"/>
      <c r="B664" s="10"/>
      <c r="C664" s="10"/>
      <c r="D664" s="10"/>
      <c r="E664" s="11"/>
      <c r="F664" s="10"/>
      <c r="G664" s="10"/>
      <c r="H664" s="10"/>
      <c r="I664" s="10"/>
      <c r="J664" s="10"/>
      <c r="K664" s="12"/>
      <c r="L664" s="10"/>
      <c r="M664" s="10"/>
      <c r="N664" s="13"/>
      <c r="O664" s="10"/>
      <c r="P664" s="10"/>
      <c r="Q664" s="10"/>
      <c r="R664" s="18"/>
      <c r="S664" s="10"/>
      <c r="T664" s="10"/>
      <c r="U664" s="13"/>
      <c r="V664" s="13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3"/>
      <c r="AL664" s="14"/>
      <c r="AM664" s="15"/>
      <c r="AN664" s="15"/>
      <c r="AO664" s="13"/>
      <c r="AP664" s="13"/>
      <c r="AQ664" s="16"/>
      <c r="AR664" s="10"/>
      <c r="AS664" s="10"/>
      <c r="AT664" s="10"/>
      <c r="AU664" s="10"/>
      <c r="AV664" s="11"/>
      <c r="AW664" s="11"/>
      <c r="AX664" s="10"/>
      <c r="AY664" s="11"/>
      <c r="AZ664" s="11"/>
      <c r="BA664" s="11"/>
      <c r="BB664" s="10"/>
      <c r="BC664" s="11"/>
      <c r="BD664" s="11"/>
      <c r="BE664" s="11"/>
      <c r="BF664" s="11"/>
      <c r="BG664" s="11"/>
      <c r="BH664" s="11"/>
      <c r="BI664" s="11"/>
      <c r="BJ664" s="11"/>
      <c r="BK664" s="11"/>
      <c r="BL664" s="11"/>
      <c r="BM664" s="11"/>
      <c r="BN664" s="11"/>
      <c r="BO664" s="11"/>
      <c r="BP664" s="11"/>
      <c r="BQ664" s="11"/>
      <c r="BR664" s="11"/>
      <c r="BS664" s="11"/>
      <c r="BT664" s="11"/>
      <c r="BU664" s="11"/>
      <c r="BV664" s="11"/>
      <c r="BW664" s="11"/>
      <c r="BX664" s="11"/>
      <c r="BY664" s="11"/>
      <c r="BZ664" s="11"/>
      <c r="CA664" s="11"/>
      <c r="CB664" s="11"/>
      <c r="CC664" s="17"/>
      <c r="CD664" s="17"/>
      <c r="CE664" s="11"/>
      <c r="CF664" s="13"/>
      <c r="CG664" s="13"/>
      <c r="CH664" s="13"/>
      <c r="CI664" s="13"/>
      <c r="CJ664" s="13"/>
    </row>
    <row r="665" spans="1:88" s="9" customFormat="1" x14ac:dyDescent="0.25">
      <c r="A665" s="10"/>
      <c r="B665" s="10"/>
      <c r="C665" s="10"/>
      <c r="D665" s="10"/>
      <c r="E665" s="11"/>
      <c r="F665" s="10"/>
      <c r="G665" s="10"/>
      <c r="H665" s="10"/>
      <c r="I665" s="10"/>
      <c r="J665" s="10"/>
      <c r="K665" s="12"/>
      <c r="L665" s="10"/>
      <c r="M665" s="10"/>
      <c r="N665" s="13"/>
      <c r="O665" s="10"/>
      <c r="P665" s="10"/>
      <c r="Q665" s="10"/>
      <c r="R665" s="18"/>
      <c r="S665" s="10"/>
      <c r="T665" s="10"/>
      <c r="U665" s="13"/>
      <c r="V665" s="13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3"/>
      <c r="AL665" s="14"/>
      <c r="AM665" s="15"/>
      <c r="AN665" s="15"/>
      <c r="AO665" s="13"/>
      <c r="AP665" s="13"/>
      <c r="AQ665" s="16"/>
      <c r="AR665" s="10"/>
      <c r="AS665" s="10"/>
      <c r="AT665" s="10"/>
      <c r="AU665" s="10"/>
      <c r="AV665" s="11"/>
      <c r="AW665" s="11"/>
      <c r="AX665" s="10"/>
      <c r="AY665" s="11"/>
      <c r="AZ665" s="11"/>
      <c r="BA665" s="11"/>
      <c r="BB665" s="10"/>
      <c r="BC665" s="11"/>
      <c r="BD665" s="11"/>
      <c r="BE665" s="11"/>
      <c r="BF665" s="11"/>
      <c r="BG665" s="11"/>
      <c r="BH665" s="11"/>
      <c r="BI665" s="11"/>
      <c r="BJ665" s="11"/>
      <c r="BK665" s="11"/>
      <c r="BL665" s="11"/>
      <c r="BM665" s="11"/>
      <c r="BN665" s="11"/>
      <c r="BO665" s="11"/>
      <c r="BP665" s="11"/>
      <c r="BQ665" s="11"/>
      <c r="BR665" s="11"/>
      <c r="BS665" s="11"/>
      <c r="BT665" s="11"/>
      <c r="BU665" s="11"/>
      <c r="BV665" s="11"/>
      <c r="BW665" s="11"/>
      <c r="BX665" s="11"/>
      <c r="BY665" s="11"/>
      <c r="BZ665" s="11"/>
      <c r="CA665" s="11"/>
      <c r="CB665" s="11"/>
      <c r="CC665" s="17"/>
      <c r="CD665" s="17"/>
      <c r="CE665" s="11"/>
      <c r="CF665" s="13"/>
      <c r="CG665" s="13"/>
      <c r="CH665" s="13"/>
      <c r="CI665" s="13"/>
      <c r="CJ665" s="13"/>
    </row>
    <row r="666" spans="1:88" s="9" customFormat="1" x14ac:dyDescent="0.25">
      <c r="A666" s="10"/>
      <c r="B666" s="10"/>
      <c r="C666" s="10"/>
      <c r="D666" s="10"/>
      <c r="E666" s="11"/>
      <c r="F666" s="10"/>
      <c r="G666" s="10"/>
      <c r="H666" s="10"/>
      <c r="I666" s="10"/>
      <c r="J666" s="10"/>
      <c r="K666" s="12"/>
      <c r="L666" s="10"/>
      <c r="M666" s="10"/>
      <c r="N666" s="13"/>
      <c r="O666" s="10"/>
      <c r="P666" s="10"/>
      <c r="Q666" s="10"/>
      <c r="R666" s="18"/>
      <c r="S666" s="10"/>
      <c r="T666" s="10"/>
      <c r="U666" s="13"/>
      <c r="V666" s="13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3"/>
      <c r="AL666" s="14"/>
      <c r="AM666" s="15"/>
      <c r="AN666" s="15"/>
      <c r="AO666" s="13"/>
      <c r="AP666" s="13"/>
      <c r="AQ666" s="16"/>
      <c r="AR666" s="10"/>
      <c r="AS666" s="10"/>
      <c r="AT666" s="10"/>
      <c r="AU666" s="10"/>
      <c r="AV666" s="11"/>
      <c r="AW666" s="11"/>
      <c r="AX666" s="10"/>
      <c r="AY666" s="11"/>
      <c r="AZ666" s="11"/>
      <c r="BA666" s="11"/>
      <c r="BB666" s="10"/>
      <c r="BC666" s="11"/>
      <c r="BD666" s="11"/>
      <c r="BE666" s="11"/>
      <c r="BF666" s="11"/>
      <c r="BG666" s="11"/>
      <c r="BH666" s="11"/>
      <c r="BI666" s="11"/>
      <c r="BJ666" s="11"/>
      <c r="BK666" s="11"/>
      <c r="BL666" s="11"/>
      <c r="BM666" s="11"/>
      <c r="BN666" s="11"/>
      <c r="BO666" s="11"/>
      <c r="BP666" s="11"/>
      <c r="BQ666" s="11"/>
      <c r="BR666" s="11"/>
      <c r="BS666" s="11"/>
      <c r="BT666" s="11"/>
      <c r="BU666" s="11"/>
      <c r="BV666" s="11"/>
      <c r="BW666" s="11"/>
      <c r="BX666" s="11"/>
      <c r="BY666" s="11"/>
      <c r="BZ666" s="11"/>
      <c r="CA666" s="11"/>
      <c r="CB666" s="11"/>
      <c r="CC666" s="17"/>
      <c r="CD666" s="17"/>
      <c r="CE666" s="11"/>
      <c r="CF666" s="13"/>
      <c r="CG666" s="13"/>
      <c r="CH666" s="13"/>
      <c r="CI666" s="13"/>
      <c r="CJ666" s="13"/>
    </row>
    <row r="667" spans="1:88" s="9" customFormat="1" x14ac:dyDescent="0.25">
      <c r="A667" s="10"/>
      <c r="B667" s="10"/>
      <c r="C667" s="10"/>
      <c r="D667" s="10"/>
      <c r="E667" s="11"/>
      <c r="F667" s="10"/>
      <c r="G667" s="10"/>
      <c r="H667" s="10"/>
      <c r="I667" s="10"/>
      <c r="J667" s="10"/>
      <c r="K667" s="12"/>
      <c r="L667" s="10"/>
      <c r="M667" s="10"/>
      <c r="N667" s="13"/>
      <c r="O667" s="10"/>
      <c r="P667" s="10"/>
      <c r="Q667" s="10"/>
      <c r="R667" s="18"/>
      <c r="S667" s="10"/>
      <c r="T667" s="10"/>
      <c r="U667" s="13"/>
      <c r="V667" s="13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3"/>
      <c r="AL667" s="14"/>
      <c r="AM667" s="15"/>
      <c r="AN667" s="15"/>
      <c r="AO667" s="13"/>
      <c r="AP667" s="13"/>
      <c r="AQ667" s="16"/>
      <c r="AR667" s="10"/>
      <c r="AS667" s="10"/>
      <c r="AT667" s="10"/>
      <c r="AU667" s="10"/>
      <c r="AV667" s="11"/>
      <c r="AW667" s="11"/>
      <c r="AX667" s="10"/>
      <c r="AY667" s="11"/>
      <c r="AZ667" s="11"/>
      <c r="BA667" s="11"/>
      <c r="BB667" s="10"/>
      <c r="BC667" s="11"/>
      <c r="BD667" s="11"/>
      <c r="BE667" s="11"/>
      <c r="BF667" s="11"/>
      <c r="BG667" s="11"/>
      <c r="BH667" s="11"/>
      <c r="BI667" s="11"/>
      <c r="BJ667" s="11"/>
      <c r="BK667" s="11"/>
      <c r="BL667" s="11"/>
      <c r="BM667" s="11"/>
      <c r="BN667" s="11"/>
      <c r="BO667" s="11"/>
      <c r="BP667" s="11"/>
      <c r="BQ667" s="11"/>
      <c r="BR667" s="11"/>
      <c r="BS667" s="11"/>
      <c r="BT667" s="11"/>
      <c r="BU667" s="11"/>
      <c r="BV667" s="11"/>
      <c r="BW667" s="11"/>
      <c r="BX667" s="11"/>
      <c r="BY667" s="11"/>
      <c r="BZ667" s="11"/>
      <c r="CA667" s="11"/>
      <c r="CB667" s="11"/>
      <c r="CC667" s="17"/>
      <c r="CD667" s="17"/>
      <c r="CE667" s="11"/>
      <c r="CF667" s="13"/>
      <c r="CG667" s="13"/>
      <c r="CH667" s="13"/>
      <c r="CI667" s="13"/>
      <c r="CJ667" s="13"/>
    </row>
    <row r="668" spans="1:88" s="9" customFormat="1" x14ac:dyDescent="0.25">
      <c r="A668" s="10"/>
      <c r="B668" s="10"/>
      <c r="C668" s="10"/>
      <c r="D668" s="10"/>
      <c r="E668" s="11"/>
      <c r="F668" s="10"/>
      <c r="G668" s="10"/>
      <c r="H668" s="10"/>
      <c r="I668" s="10"/>
      <c r="J668" s="10"/>
      <c r="K668" s="12"/>
      <c r="L668" s="10"/>
      <c r="M668" s="10"/>
      <c r="N668" s="13"/>
      <c r="O668" s="10"/>
      <c r="P668" s="10"/>
      <c r="Q668" s="10"/>
      <c r="R668" s="18"/>
      <c r="S668" s="10"/>
      <c r="T668" s="10"/>
      <c r="U668" s="13"/>
      <c r="V668" s="13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3"/>
      <c r="AL668" s="14"/>
      <c r="AM668" s="15"/>
      <c r="AN668" s="15"/>
      <c r="AO668" s="13"/>
      <c r="AP668" s="13"/>
      <c r="AQ668" s="16"/>
      <c r="AR668" s="10"/>
      <c r="AS668" s="10"/>
      <c r="AT668" s="10"/>
      <c r="AU668" s="10"/>
      <c r="AV668" s="11"/>
      <c r="AW668" s="11"/>
      <c r="AX668" s="10"/>
      <c r="AY668" s="11"/>
      <c r="AZ668" s="11"/>
      <c r="BA668" s="11"/>
      <c r="BB668" s="10"/>
      <c r="BC668" s="11"/>
      <c r="BD668" s="11"/>
      <c r="BE668" s="11"/>
      <c r="BF668" s="11"/>
      <c r="BG668" s="11"/>
      <c r="BH668" s="11"/>
      <c r="BI668" s="11"/>
      <c r="BJ668" s="11"/>
      <c r="BK668" s="11"/>
      <c r="BL668" s="11"/>
      <c r="BM668" s="11"/>
      <c r="BN668" s="11"/>
      <c r="BO668" s="11"/>
      <c r="BP668" s="11"/>
      <c r="BQ668" s="11"/>
      <c r="BR668" s="11"/>
      <c r="BS668" s="11"/>
      <c r="BT668" s="11"/>
      <c r="BU668" s="11"/>
      <c r="BV668" s="11"/>
      <c r="BW668" s="11"/>
      <c r="BX668" s="11"/>
      <c r="BY668" s="11"/>
      <c r="BZ668" s="11"/>
      <c r="CA668" s="11"/>
      <c r="CB668" s="11"/>
      <c r="CC668" s="17"/>
      <c r="CD668" s="17"/>
      <c r="CE668" s="11"/>
      <c r="CF668" s="13"/>
      <c r="CG668" s="13"/>
      <c r="CH668" s="13"/>
      <c r="CI668" s="13"/>
      <c r="CJ668" s="13"/>
    </row>
    <row r="669" spans="1:88" s="9" customFormat="1" x14ac:dyDescent="0.25">
      <c r="A669" s="10"/>
      <c r="B669" s="10"/>
      <c r="C669" s="10"/>
      <c r="D669" s="10"/>
      <c r="E669" s="11"/>
      <c r="F669" s="10"/>
      <c r="G669" s="10"/>
      <c r="H669" s="10"/>
      <c r="I669" s="10"/>
      <c r="J669" s="10"/>
      <c r="K669" s="12"/>
      <c r="L669" s="10"/>
      <c r="M669" s="10"/>
      <c r="N669" s="13"/>
      <c r="O669" s="10"/>
      <c r="P669" s="10"/>
      <c r="Q669" s="10"/>
      <c r="R669" s="18"/>
      <c r="S669" s="10"/>
      <c r="T669" s="10"/>
      <c r="U669" s="13"/>
      <c r="V669" s="13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3"/>
      <c r="AL669" s="14"/>
      <c r="AM669" s="15"/>
      <c r="AN669" s="15"/>
      <c r="AO669" s="13"/>
      <c r="AP669" s="13"/>
      <c r="AQ669" s="16"/>
      <c r="AR669" s="10"/>
      <c r="AS669" s="10"/>
      <c r="AT669" s="10"/>
      <c r="AU669" s="10"/>
      <c r="AV669" s="11"/>
      <c r="AW669" s="11"/>
      <c r="AX669" s="10"/>
      <c r="AY669" s="11"/>
      <c r="AZ669" s="11"/>
      <c r="BA669" s="11"/>
      <c r="BB669" s="10"/>
      <c r="BC669" s="11"/>
      <c r="BD669" s="11"/>
      <c r="BE669" s="11"/>
      <c r="BF669" s="11"/>
      <c r="BG669" s="11"/>
      <c r="BH669" s="11"/>
      <c r="BI669" s="11"/>
      <c r="BJ669" s="11"/>
      <c r="BK669" s="11"/>
      <c r="BL669" s="11"/>
      <c r="BM669" s="11"/>
      <c r="BN669" s="11"/>
      <c r="BO669" s="11"/>
      <c r="BP669" s="11"/>
      <c r="BQ669" s="11"/>
      <c r="BR669" s="11"/>
      <c r="BS669" s="11"/>
      <c r="BT669" s="11"/>
      <c r="BU669" s="11"/>
      <c r="BV669" s="11"/>
      <c r="BW669" s="11"/>
      <c r="BX669" s="11"/>
      <c r="BY669" s="11"/>
      <c r="BZ669" s="11"/>
      <c r="CA669" s="11"/>
      <c r="CB669" s="11"/>
      <c r="CC669" s="17"/>
      <c r="CD669" s="17"/>
      <c r="CE669" s="11"/>
      <c r="CF669" s="13"/>
      <c r="CG669" s="13"/>
      <c r="CH669" s="13"/>
      <c r="CI669" s="13"/>
      <c r="CJ669" s="13"/>
    </row>
    <row r="670" spans="1:88" s="9" customFormat="1" x14ac:dyDescent="0.25">
      <c r="A670" s="10"/>
      <c r="B670" s="10"/>
      <c r="C670" s="10"/>
      <c r="D670" s="10"/>
      <c r="E670" s="11"/>
      <c r="F670" s="10"/>
      <c r="G670" s="10"/>
      <c r="H670" s="10"/>
      <c r="I670" s="10"/>
      <c r="J670" s="10"/>
      <c r="K670" s="12"/>
      <c r="L670" s="10"/>
      <c r="M670" s="10"/>
      <c r="N670" s="13"/>
      <c r="O670" s="10"/>
      <c r="P670" s="10"/>
      <c r="Q670" s="10"/>
      <c r="R670" s="18"/>
      <c r="S670" s="10"/>
      <c r="T670" s="10"/>
      <c r="U670" s="13"/>
      <c r="V670" s="13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3"/>
      <c r="AL670" s="14"/>
      <c r="AM670" s="15"/>
      <c r="AN670" s="15"/>
      <c r="AO670" s="13"/>
      <c r="AP670" s="13"/>
      <c r="AQ670" s="16"/>
      <c r="AR670" s="10"/>
      <c r="AS670" s="10"/>
      <c r="AT670" s="10"/>
      <c r="AU670" s="10"/>
      <c r="AV670" s="11"/>
      <c r="AW670" s="11"/>
      <c r="AX670" s="10"/>
      <c r="AY670" s="11"/>
      <c r="AZ670" s="11"/>
      <c r="BA670" s="11"/>
      <c r="BB670" s="10"/>
      <c r="BC670" s="11"/>
      <c r="BD670" s="11"/>
      <c r="BE670" s="11"/>
      <c r="BF670" s="11"/>
      <c r="BG670" s="11"/>
      <c r="BH670" s="11"/>
      <c r="BI670" s="11"/>
      <c r="BJ670" s="11"/>
      <c r="BK670" s="11"/>
      <c r="BL670" s="11"/>
      <c r="BM670" s="11"/>
      <c r="BN670" s="11"/>
      <c r="BO670" s="11"/>
      <c r="BP670" s="11"/>
      <c r="BQ670" s="11"/>
      <c r="BR670" s="11"/>
      <c r="BS670" s="11"/>
      <c r="BT670" s="11"/>
      <c r="BU670" s="11"/>
      <c r="BV670" s="11"/>
      <c r="BW670" s="11"/>
      <c r="BX670" s="11"/>
      <c r="BY670" s="11"/>
      <c r="BZ670" s="11"/>
      <c r="CA670" s="11"/>
      <c r="CB670" s="11"/>
      <c r="CC670" s="17"/>
      <c r="CD670" s="17"/>
      <c r="CE670" s="11"/>
      <c r="CF670" s="13"/>
      <c r="CG670" s="13"/>
      <c r="CH670" s="13"/>
      <c r="CI670" s="13"/>
      <c r="CJ670" s="13"/>
    </row>
    <row r="671" spans="1:88" s="9" customFormat="1" x14ac:dyDescent="0.25">
      <c r="A671" s="10"/>
      <c r="B671" s="10"/>
      <c r="C671" s="10"/>
      <c r="D671" s="10"/>
      <c r="E671" s="11"/>
      <c r="F671" s="10"/>
      <c r="G671" s="10"/>
      <c r="H671" s="10"/>
      <c r="I671" s="10"/>
      <c r="J671" s="10"/>
      <c r="K671" s="12"/>
      <c r="L671" s="10"/>
      <c r="M671" s="10"/>
      <c r="N671" s="13"/>
      <c r="O671" s="10"/>
      <c r="P671" s="10"/>
      <c r="Q671" s="10"/>
      <c r="R671" s="18"/>
      <c r="S671" s="10"/>
      <c r="T671" s="10"/>
      <c r="U671" s="13"/>
      <c r="V671" s="13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3"/>
      <c r="AL671" s="14"/>
      <c r="AM671" s="15"/>
      <c r="AN671" s="15"/>
      <c r="AO671" s="13"/>
      <c r="AP671" s="13"/>
      <c r="AQ671" s="16"/>
      <c r="AR671" s="10"/>
      <c r="AS671" s="10"/>
      <c r="AT671" s="10"/>
      <c r="AU671" s="10"/>
      <c r="AV671" s="11"/>
      <c r="AW671" s="11"/>
      <c r="AX671" s="10"/>
      <c r="AY671" s="11"/>
      <c r="AZ671" s="11"/>
      <c r="BA671" s="11"/>
      <c r="BB671" s="10"/>
      <c r="BC671" s="11"/>
      <c r="BD671" s="11"/>
      <c r="BE671" s="11"/>
      <c r="BF671" s="11"/>
      <c r="BG671" s="11"/>
      <c r="BH671" s="11"/>
      <c r="BI671" s="11"/>
      <c r="BJ671" s="11"/>
      <c r="BK671" s="11"/>
      <c r="BL671" s="11"/>
      <c r="BM671" s="11"/>
      <c r="BN671" s="11"/>
      <c r="BO671" s="11"/>
      <c r="BP671" s="11"/>
      <c r="BQ671" s="11"/>
      <c r="BR671" s="11"/>
      <c r="BS671" s="11"/>
      <c r="BT671" s="11"/>
      <c r="BU671" s="11"/>
      <c r="BV671" s="11"/>
      <c r="BW671" s="11"/>
      <c r="BX671" s="11"/>
      <c r="BY671" s="11"/>
      <c r="BZ671" s="11"/>
      <c r="CA671" s="11"/>
      <c r="CB671" s="11"/>
      <c r="CC671" s="17"/>
      <c r="CD671" s="17"/>
      <c r="CE671" s="11"/>
      <c r="CF671" s="13"/>
      <c r="CG671" s="13"/>
      <c r="CH671" s="13"/>
      <c r="CI671" s="13"/>
      <c r="CJ671" s="13"/>
    </row>
    <row r="672" spans="1:88" s="9" customFormat="1" x14ac:dyDescent="0.25">
      <c r="A672" s="10"/>
      <c r="B672" s="10"/>
      <c r="C672" s="10"/>
      <c r="D672" s="10"/>
      <c r="E672" s="11"/>
      <c r="F672" s="10"/>
      <c r="G672" s="10"/>
      <c r="H672" s="10"/>
      <c r="I672" s="10"/>
      <c r="J672" s="10"/>
      <c r="K672" s="12"/>
      <c r="L672" s="10"/>
      <c r="M672" s="10"/>
      <c r="N672" s="13"/>
      <c r="O672" s="10"/>
      <c r="P672" s="10"/>
      <c r="Q672" s="10"/>
      <c r="R672" s="18"/>
      <c r="S672" s="10"/>
      <c r="T672" s="10"/>
      <c r="U672" s="13"/>
      <c r="V672" s="13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3"/>
      <c r="AL672" s="14"/>
      <c r="AM672" s="15"/>
      <c r="AN672" s="15"/>
      <c r="AO672" s="13"/>
      <c r="AP672" s="13"/>
      <c r="AQ672" s="16"/>
      <c r="AR672" s="10"/>
      <c r="AS672" s="10"/>
      <c r="AT672" s="10"/>
      <c r="AU672" s="10"/>
      <c r="AV672" s="11"/>
      <c r="AW672" s="11"/>
      <c r="AX672" s="10"/>
      <c r="AY672" s="11"/>
      <c r="AZ672" s="11"/>
      <c r="BA672" s="11"/>
      <c r="BB672" s="10"/>
      <c r="BC672" s="11"/>
      <c r="BD672" s="11"/>
      <c r="BE672" s="11"/>
      <c r="BF672" s="11"/>
      <c r="BG672" s="11"/>
      <c r="BH672" s="11"/>
      <c r="BI672" s="11"/>
      <c r="BJ672" s="11"/>
      <c r="BK672" s="11"/>
      <c r="BL672" s="11"/>
      <c r="BM672" s="11"/>
      <c r="BN672" s="11"/>
      <c r="BO672" s="11"/>
      <c r="BP672" s="11"/>
      <c r="BQ672" s="11"/>
      <c r="BR672" s="11"/>
      <c r="BS672" s="11"/>
      <c r="BT672" s="11"/>
      <c r="BU672" s="11"/>
      <c r="BV672" s="11"/>
      <c r="BW672" s="11"/>
      <c r="BX672" s="11"/>
      <c r="BY672" s="11"/>
      <c r="BZ672" s="11"/>
      <c r="CA672" s="11"/>
      <c r="CB672" s="11"/>
      <c r="CC672" s="17"/>
      <c r="CD672" s="17"/>
      <c r="CE672" s="11"/>
      <c r="CF672" s="13"/>
      <c r="CG672" s="13"/>
      <c r="CH672" s="13"/>
      <c r="CI672" s="13"/>
      <c r="CJ672" s="13"/>
    </row>
    <row r="673" spans="1:88" s="9" customFormat="1" x14ac:dyDescent="0.25">
      <c r="A673" s="10"/>
      <c r="B673" s="10"/>
      <c r="C673" s="10"/>
      <c r="D673" s="10"/>
      <c r="E673" s="11"/>
      <c r="F673" s="10"/>
      <c r="G673" s="10"/>
      <c r="H673" s="10"/>
      <c r="I673" s="10"/>
      <c r="J673" s="10"/>
      <c r="K673" s="12"/>
      <c r="L673" s="10"/>
      <c r="M673" s="10"/>
      <c r="N673" s="13"/>
      <c r="O673" s="10"/>
      <c r="P673" s="10"/>
      <c r="Q673" s="10"/>
      <c r="R673" s="18"/>
      <c r="S673" s="10"/>
      <c r="T673" s="10"/>
      <c r="U673" s="13"/>
      <c r="V673" s="13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3"/>
      <c r="AL673" s="14"/>
      <c r="AM673" s="15"/>
      <c r="AN673" s="15"/>
      <c r="AO673" s="13"/>
      <c r="AP673" s="13"/>
      <c r="AQ673" s="16"/>
      <c r="AR673" s="10"/>
      <c r="AS673" s="10"/>
      <c r="AT673" s="10"/>
      <c r="AU673" s="10"/>
      <c r="AV673" s="11"/>
      <c r="AW673" s="11"/>
      <c r="AX673" s="10"/>
      <c r="AY673" s="11"/>
      <c r="AZ673" s="11"/>
      <c r="BA673" s="11"/>
      <c r="BB673" s="10"/>
      <c r="BC673" s="11"/>
      <c r="BD673" s="11"/>
      <c r="BE673" s="11"/>
      <c r="BF673" s="11"/>
      <c r="BG673" s="11"/>
      <c r="BH673" s="11"/>
      <c r="BI673" s="11"/>
      <c r="BJ673" s="11"/>
      <c r="BK673" s="11"/>
      <c r="BL673" s="11"/>
      <c r="BM673" s="11"/>
      <c r="BN673" s="11"/>
      <c r="BO673" s="11"/>
      <c r="BP673" s="11"/>
      <c r="BQ673" s="11"/>
      <c r="BR673" s="11"/>
      <c r="BS673" s="11"/>
      <c r="BT673" s="11"/>
      <c r="BU673" s="11"/>
      <c r="BV673" s="11"/>
      <c r="BW673" s="11"/>
      <c r="BX673" s="11"/>
      <c r="BY673" s="11"/>
      <c r="BZ673" s="11"/>
      <c r="CA673" s="11"/>
      <c r="CB673" s="11"/>
      <c r="CC673" s="17"/>
      <c r="CD673" s="17"/>
      <c r="CE673" s="11"/>
      <c r="CF673" s="13"/>
      <c r="CG673" s="13"/>
      <c r="CH673" s="13"/>
      <c r="CI673" s="13"/>
      <c r="CJ673" s="13"/>
    </row>
    <row r="674" spans="1:88" s="9" customFormat="1" x14ac:dyDescent="0.25">
      <c r="A674" s="10"/>
      <c r="B674" s="10"/>
      <c r="C674" s="10"/>
      <c r="D674" s="10"/>
      <c r="E674" s="11"/>
      <c r="F674" s="10"/>
      <c r="G674" s="10"/>
      <c r="H674" s="10"/>
      <c r="I674" s="10"/>
      <c r="J674" s="10"/>
      <c r="K674" s="12"/>
      <c r="L674" s="10"/>
      <c r="M674" s="10"/>
      <c r="N674" s="13"/>
      <c r="O674" s="10"/>
      <c r="P674" s="10"/>
      <c r="Q674" s="10"/>
      <c r="R674" s="18"/>
      <c r="S674" s="10"/>
      <c r="T674" s="10"/>
      <c r="U674" s="13"/>
      <c r="V674" s="13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3"/>
      <c r="AL674" s="14"/>
      <c r="AM674" s="15"/>
      <c r="AN674" s="15"/>
      <c r="AO674" s="13"/>
      <c r="AP674" s="13"/>
      <c r="AQ674" s="16"/>
      <c r="AR674" s="10"/>
      <c r="AS674" s="10"/>
      <c r="AT674" s="10"/>
      <c r="AU674" s="10"/>
      <c r="AV674" s="11"/>
      <c r="AW674" s="11"/>
      <c r="AX674" s="10"/>
      <c r="AY674" s="11"/>
      <c r="AZ674" s="11"/>
      <c r="BA674" s="11"/>
      <c r="BB674" s="10"/>
      <c r="BC674" s="11"/>
      <c r="BD674" s="11"/>
      <c r="BE674" s="11"/>
      <c r="BF674" s="11"/>
      <c r="BG674" s="11"/>
      <c r="BH674" s="11"/>
      <c r="BI674" s="11"/>
      <c r="BJ674" s="11"/>
      <c r="BK674" s="11"/>
      <c r="BL674" s="11"/>
      <c r="BM674" s="11"/>
      <c r="BN674" s="11"/>
      <c r="BO674" s="11"/>
      <c r="BP674" s="11"/>
      <c r="BQ674" s="11"/>
      <c r="BR674" s="11"/>
      <c r="BS674" s="11"/>
      <c r="BT674" s="11"/>
      <c r="BU674" s="11"/>
      <c r="BV674" s="11"/>
      <c r="BW674" s="11"/>
      <c r="BX674" s="11"/>
      <c r="BY674" s="11"/>
      <c r="BZ674" s="11"/>
      <c r="CA674" s="11"/>
      <c r="CB674" s="11"/>
      <c r="CC674" s="17"/>
      <c r="CD674" s="17"/>
      <c r="CE674" s="11"/>
      <c r="CF674" s="13"/>
      <c r="CG674" s="13"/>
      <c r="CH674" s="13"/>
      <c r="CI674" s="13"/>
      <c r="CJ674" s="13"/>
    </row>
    <row r="675" spans="1:88" s="9" customFormat="1" x14ac:dyDescent="0.25">
      <c r="A675" s="10"/>
      <c r="B675" s="10"/>
      <c r="C675" s="10"/>
      <c r="D675" s="10"/>
      <c r="E675" s="11"/>
      <c r="F675" s="10"/>
      <c r="G675" s="10"/>
      <c r="H675" s="10"/>
      <c r="I675" s="10"/>
      <c r="J675" s="10"/>
      <c r="K675" s="12"/>
      <c r="L675" s="10"/>
      <c r="M675" s="10"/>
      <c r="N675" s="13"/>
      <c r="O675" s="10"/>
      <c r="P675" s="10"/>
      <c r="Q675" s="10"/>
      <c r="R675" s="18"/>
      <c r="S675" s="10"/>
      <c r="T675" s="10"/>
      <c r="U675" s="13"/>
      <c r="V675" s="13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3"/>
      <c r="AL675" s="14"/>
      <c r="AM675" s="15"/>
      <c r="AN675" s="15"/>
      <c r="AO675" s="13"/>
      <c r="AP675" s="13"/>
      <c r="AQ675" s="16"/>
      <c r="AR675" s="10"/>
      <c r="AS675" s="10"/>
      <c r="AT675" s="10"/>
      <c r="AU675" s="10"/>
      <c r="AV675" s="11"/>
      <c r="AW675" s="11"/>
      <c r="AX675" s="10"/>
      <c r="AY675" s="11"/>
      <c r="AZ675" s="11"/>
      <c r="BA675" s="11"/>
      <c r="BB675" s="10"/>
      <c r="BC675" s="11"/>
      <c r="BD675" s="11"/>
      <c r="BE675" s="11"/>
      <c r="BF675" s="11"/>
      <c r="BG675" s="11"/>
      <c r="BH675" s="11"/>
      <c r="BI675" s="11"/>
      <c r="BJ675" s="11"/>
      <c r="BK675" s="11"/>
      <c r="BL675" s="11"/>
      <c r="BM675" s="11"/>
      <c r="BN675" s="11"/>
      <c r="BO675" s="11"/>
      <c r="BP675" s="11"/>
      <c r="BQ675" s="11"/>
      <c r="BR675" s="11"/>
      <c r="BS675" s="11"/>
      <c r="BT675" s="11"/>
      <c r="BU675" s="11"/>
      <c r="BV675" s="11"/>
      <c r="BW675" s="11"/>
      <c r="BX675" s="11"/>
      <c r="BY675" s="11"/>
      <c r="BZ675" s="11"/>
      <c r="CA675" s="11"/>
      <c r="CB675" s="11"/>
      <c r="CC675" s="17"/>
      <c r="CD675" s="17"/>
      <c r="CE675" s="11"/>
      <c r="CF675" s="13"/>
      <c r="CG675" s="13"/>
      <c r="CH675" s="13"/>
      <c r="CI675" s="13"/>
      <c r="CJ675" s="13"/>
    </row>
    <row r="676" spans="1:88" s="9" customFormat="1" x14ac:dyDescent="0.25">
      <c r="A676" s="10"/>
      <c r="B676" s="10"/>
      <c r="C676" s="10"/>
      <c r="D676" s="10"/>
      <c r="E676" s="11"/>
      <c r="F676" s="10"/>
      <c r="G676" s="10"/>
      <c r="H676" s="10"/>
      <c r="I676" s="10"/>
      <c r="J676" s="10"/>
      <c r="K676" s="12"/>
      <c r="L676" s="10"/>
      <c r="M676" s="10"/>
      <c r="N676" s="13"/>
      <c r="O676" s="10"/>
      <c r="P676" s="10"/>
      <c r="Q676" s="10"/>
      <c r="R676" s="18"/>
      <c r="S676" s="10"/>
      <c r="T676" s="10"/>
      <c r="U676" s="13"/>
      <c r="V676" s="13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3"/>
      <c r="AL676" s="14"/>
      <c r="AM676" s="15"/>
      <c r="AN676" s="15"/>
      <c r="AO676" s="13"/>
      <c r="AP676" s="13"/>
      <c r="AQ676" s="16"/>
      <c r="AR676" s="10"/>
      <c r="AS676" s="10"/>
      <c r="AT676" s="10"/>
      <c r="AU676" s="10"/>
      <c r="AV676" s="11"/>
      <c r="AW676" s="11"/>
      <c r="AX676" s="10"/>
      <c r="AY676" s="11"/>
      <c r="AZ676" s="11"/>
      <c r="BA676" s="11"/>
      <c r="BB676" s="10"/>
      <c r="BC676" s="11"/>
      <c r="BD676" s="11"/>
      <c r="BE676" s="11"/>
      <c r="BF676" s="11"/>
      <c r="BG676" s="11"/>
      <c r="BH676" s="11"/>
      <c r="BI676" s="11"/>
      <c r="BJ676" s="11"/>
      <c r="BK676" s="11"/>
      <c r="BL676" s="11"/>
      <c r="BM676" s="11"/>
      <c r="BN676" s="11"/>
      <c r="BO676" s="11"/>
      <c r="BP676" s="11"/>
      <c r="BQ676" s="11"/>
      <c r="BR676" s="11"/>
      <c r="BS676" s="11"/>
      <c r="BT676" s="11"/>
      <c r="BU676" s="11"/>
      <c r="BV676" s="11"/>
      <c r="BW676" s="11"/>
      <c r="BX676" s="11"/>
      <c r="BY676" s="11"/>
      <c r="BZ676" s="11"/>
      <c r="CA676" s="11"/>
      <c r="CB676" s="11"/>
      <c r="CC676" s="17"/>
      <c r="CD676" s="17"/>
      <c r="CE676" s="11"/>
      <c r="CF676" s="13"/>
      <c r="CG676" s="13"/>
      <c r="CH676" s="13"/>
      <c r="CI676" s="13"/>
      <c r="CJ676" s="13"/>
    </row>
    <row r="677" spans="1:88" s="9" customFormat="1" x14ac:dyDescent="0.25">
      <c r="A677" s="10"/>
      <c r="B677" s="10"/>
      <c r="C677" s="10"/>
      <c r="D677" s="10"/>
      <c r="E677" s="11"/>
      <c r="F677" s="10"/>
      <c r="G677" s="10"/>
      <c r="H677" s="10"/>
      <c r="I677" s="10"/>
      <c r="J677" s="10"/>
      <c r="K677" s="12"/>
      <c r="L677" s="10"/>
      <c r="M677" s="10"/>
      <c r="N677" s="13"/>
      <c r="O677" s="10"/>
      <c r="P677" s="10"/>
      <c r="Q677" s="10"/>
      <c r="R677" s="18"/>
      <c r="S677" s="10"/>
      <c r="T677" s="10"/>
      <c r="U677" s="13"/>
      <c r="V677" s="13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3"/>
      <c r="AL677" s="14"/>
      <c r="AM677" s="15"/>
      <c r="AN677" s="15"/>
      <c r="AO677" s="13"/>
      <c r="AP677" s="13"/>
      <c r="AQ677" s="16"/>
      <c r="AR677" s="10"/>
      <c r="AS677" s="10"/>
      <c r="AT677" s="10"/>
      <c r="AU677" s="10"/>
      <c r="AV677" s="11"/>
      <c r="AW677" s="11"/>
      <c r="AX677" s="10"/>
      <c r="AY677" s="11"/>
      <c r="AZ677" s="11"/>
      <c r="BA677" s="11"/>
      <c r="BB677" s="10"/>
      <c r="BC677" s="11"/>
      <c r="BD677" s="11"/>
      <c r="BE677" s="11"/>
      <c r="BF677" s="11"/>
      <c r="BG677" s="11"/>
      <c r="BH677" s="11"/>
      <c r="BI677" s="11"/>
      <c r="BJ677" s="11"/>
      <c r="BK677" s="11"/>
      <c r="BL677" s="11"/>
      <c r="BM677" s="11"/>
      <c r="BN677" s="11"/>
      <c r="BO677" s="11"/>
      <c r="BP677" s="11"/>
      <c r="BQ677" s="11"/>
      <c r="BR677" s="11"/>
      <c r="BS677" s="11"/>
      <c r="BT677" s="11"/>
      <c r="BU677" s="11"/>
      <c r="BV677" s="11"/>
      <c r="BW677" s="11"/>
      <c r="BX677" s="11"/>
      <c r="BY677" s="11"/>
      <c r="BZ677" s="11"/>
      <c r="CA677" s="11"/>
      <c r="CB677" s="11"/>
      <c r="CC677" s="17"/>
      <c r="CD677" s="17"/>
      <c r="CE677" s="11"/>
      <c r="CF677" s="13"/>
      <c r="CG677" s="13"/>
      <c r="CH677" s="13"/>
      <c r="CI677" s="13"/>
      <c r="CJ677" s="13"/>
    </row>
    <row r="678" spans="1:88" s="9" customFormat="1" x14ac:dyDescent="0.25">
      <c r="A678" s="10"/>
      <c r="B678" s="10"/>
      <c r="C678" s="10"/>
      <c r="D678" s="10"/>
      <c r="E678" s="11"/>
      <c r="F678" s="10"/>
      <c r="G678" s="10"/>
      <c r="H678" s="10"/>
      <c r="I678" s="10"/>
      <c r="J678" s="10"/>
      <c r="K678" s="12"/>
      <c r="L678" s="10"/>
      <c r="M678" s="10"/>
      <c r="N678" s="13"/>
      <c r="O678" s="10"/>
      <c r="P678" s="10"/>
      <c r="Q678" s="10"/>
      <c r="R678" s="18"/>
      <c r="S678" s="10"/>
      <c r="T678" s="10"/>
      <c r="U678" s="13"/>
      <c r="V678" s="13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3"/>
      <c r="AL678" s="14"/>
      <c r="AM678" s="15"/>
      <c r="AN678" s="15"/>
      <c r="AO678" s="13"/>
      <c r="AP678" s="13"/>
      <c r="AQ678" s="16"/>
      <c r="AR678" s="10"/>
      <c r="AS678" s="10"/>
      <c r="AT678" s="10"/>
      <c r="AU678" s="10"/>
      <c r="AV678" s="11"/>
      <c r="AW678" s="11"/>
      <c r="AX678" s="10"/>
      <c r="AY678" s="11"/>
      <c r="AZ678" s="11"/>
      <c r="BA678" s="11"/>
      <c r="BB678" s="10"/>
      <c r="BC678" s="11"/>
      <c r="BD678" s="11"/>
      <c r="BE678" s="11"/>
      <c r="BF678" s="11"/>
      <c r="BG678" s="11"/>
      <c r="BH678" s="11"/>
      <c r="BI678" s="11"/>
      <c r="BJ678" s="11"/>
      <c r="BK678" s="11"/>
      <c r="BL678" s="11"/>
      <c r="BM678" s="11"/>
      <c r="BN678" s="11"/>
      <c r="BO678" s="11"/>
      <c r="BP678" s="11"/>
      <c r="BQ678" s="11"/>
      <c r="BR678" s="11"/>
      <c r="BS678" s="11"/>
      <c r="BT678" s="11"/>
      <c r="BU678" s="11"/>
      <c r="BV678" s="11"/>
      <c r="BW678" s="11"/>
      <c r="BX678" s="11"/>
      <c r="BY678" s="11"/>
      <c r="BZ678" s="11"/>
      <c r="CA678" s="11"/>
      <c r="CB678" s="11"/>
      <c r="CC678" s="17"/>
      <c r="CD678" s="17"/>
      <c r="CE678" s="11"/>
      <c r="CF678" s="13"/>
      <c r="CG678" s="13"/>
      <c r="CH678" s="13"/>
      <c r="CI678" s="13"/>
      <c r="CJ678" s="13"/>
    </row>
    <row r="679" spans="1:88" s="9" customFormat="1" x14ac:dyDescent="0.25">
      <c r="A679" s="10"/>
      <c r="B679" s="10"/>
      <c r="C679" s="10"/>
      <c r="D679" s="10"/>
      <c r="E679" s="11"/>
      <c r="F679" s="10"/>
      <c r="G679" s="10"/>
      <c r="H679" s="10"/>
      <c r="I679" s="10"/>
      <c r="J679" s="10"/>
      <c r="K679" s="12"/>
      <c r="L679" s="10"/>
      <c r="M679" s="10"/>
      <c r="N679" s="13"/>
      <c r="O679" s="10"/>
      <c r="P679" s="10"/>
      <c r="Q679" s="10"/>
      <c r="R679" s="18"/>
      <c r="S679" s="10"/>
      <c r="T679" s="10"/>
      <c r="U679" s="13"/>
      <c r="V679" s="13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3"/>
      <c r="AL679" s="14"/>
      <c r="AM679" s="15"/>
      <c r="AN679" s="15"/>
      <c r="AO679" s="13"/>
      <c r="AP679" s="13"/>
      <c r="AQ679" s="16"/>
      <c r="AR679" s="10"/>
      <c r="AS679" s="10"/>
      <c r="AT679" s="10"/>
      <c r="AU679" s="10"/>
      <c r="AV679" s="11"/>
      <c r="AW679" s="11"/>
      <c r="AX679" s="10"/>
      <c r="AY679" s="11"/>
      <c r="AZ679" s="11"/>
      <c r="BA679" s="11"/>
      <c r="BB679" s="10"/>
      <c r="BC679" s="11"/>
      <c r="BD679" s="11"/>
      <c r="BE679" s="11"/>
      <c r="BF679" s="11"/>
      <c r="BG679" s="11"/>
      <c r="BH679" s="11"/>
      <c r="BI679" s="11"/>
      <c r="BJ679" s="11"/>
      <c r="BK679" s="11"/>
      <c r="BL679" s="11"/>
      <c r="BM679" s="11"/>
      <c r="BN679" s="11"/>
      <c r="BO679" s="11"/>
      <c r="BP679" s="11"/>
      <c r="BQ679" s="11"/>
      <c r="BR679" s="11"/>
      <c r="BS679" s="11"/>
      <c r="BT679" s="11"/>
      <c r="BU679" s="11"/>
      <c r="BV679" s="11"/>
      <c r="BW679" s="11"/>
      <c r="BX679" s="11"/>
      <c r="BY679" s="11"/>
      <c r="BZ679" s="11"/>
      <c r="CA679" s="11"/>
      <c r="CB679" s="11"/>
      <c r="CC679" s="17"/>
      <c r="CD679" s="17"/>
      <c r="CE679" s="11"/>
      <c r="CF679" s="13"/>
      <c r="CG679" s="13"/>
      <c r="CH679" s="13"/>
      <c r="CI679" s="13"/>
      <c r="CJ679" s="13"/>
    </row>
    <row r="680" spans="1:88" s="9" customFormat="1" x14ac:dyDescent="0.25">
      <c r="A680" s="10"/>
      <c r="B680" s="10"/>
      <c r="C680" s="10"/>
      <c r="D680" s="10"/>
      <c r="E680" s="11"/>
      <c r="F680" s="10"/>
      <c r="G680" s="10"/>
      <c r="H680" s="10"/>
      <c r="I680" s="10"/>
      <c r="J680" s="10"/>
      <c r="K680" s="12"/>
      <c r="L680" s="10"/>
      <c r="M680" s="10"/>
      <c r="N680" s="13"/>
      <c r="O680" s="10"/>
      <c r="P680" s="10"/>
      <c r="Q680" s="10"/>
      <c r="R680" s="18"/>
      <c r="S680" s="10"/>
      <c r="T680" s="10"/>
      <c r="U680" s="13"/>
      <c r="V680" s="13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3"/>
      <c r="AL680" s="14"/>
      <c r="AM680" s="15"/>
      <c r="AN680" s="15"/>
      <c r="AO680" s="13"/>
      <c r="AP680" s="13"/>
      <c r="AQ680" s="16"/>
      <c r="AR680" s="10"/>
      <c r="AS680" s="10"/>
      <c r="AT680" s="10"/>
      <c r="AU680" s="10"/>
      <c r="AV680" s="11"/>
      <c r="AW680" s="11"/>
      <c r="AX680" s="10"/>
      <c r="AY680" s="11"/>
      <c r="AZ680" s="11"/>
      <c r="BA680" s="11"/>
      <c r="BB680" s="10"/>
      <c r="BC680" s="11"/>
      <c r="BD680" s="11"/>
      <c r="BE680" s="11"/>
      <c r="BF680" s="11"/>
      <c r="BG680" s="11"/>
      <c r="BH680" s="11"/>
      <c r="BI680" s="11"/>
      <c r="BJ680" s="11"/>
      <c r="BK680" s="11"/>
      <c r="BL680" s="11"/>
      <c r="BM680" s="11"/>
      <c r="BN680" s="11"/>
      <c r="BO680" s="11"/>
      <c r="BP680" s="11"/>
      <c r="BQ680" s="11"/>
      <c r="BR680" s="11"/>
      <c r="BS680" s="11"/>
      <c r="BT680" s="11"/>
      <c r="BU680" s="11"/>
      <c r="BV680" s="11"/>
      <c r="BW680" s="11"/>
      <c r="BX680" s="11"/>
      <c r="BY680" s="11"/>
      <c r="BZ680" s="11"/>
      <c r="CA680" s="11"/>
      <c r="CB680" s="11"/>
      <c r="CC680" s="17"/>
      <c r="CD680" s="17"/>
      <c r="CE680" s="11"/>
      <c r="CF680" s="13"/>
      <c r="CG680" s="13"/>
      <c r="CH680" s="13"/>
      <c r="CI680" s="13"/>
      <c r="CJ680" s="13"/>
    </row>
    <row r="681" spans="1:88" s="9" customFormat="1" x14ac:dyDescent="0.25">
      <c r="A681" s="10"/>
      <c r="B681" s="10"/>
      <c r="C681" s="10"/>
      <c r="D681" s="10"/>
      <c r="E681" s="11"/>
      <c r="F681" s="10"/>
      <c r="G681" s="10"/>
      <c r="H681" s="10"/>
      <c r="I681" s="10"/>
      <c r="J681" s="10"/>
      <c r="K681" s="12"/>
      <c r="L681" s="10"/>
      <c r="M681" s="10"/>
      <c r="N681" s="13"/>
      <c r="O681" s="10"/>
      <c r="P681" s="10"/>
      <c r="Q681" s="10"/>
      <c r="R681" s="18"/>
      <c r="S681" s="10"/>
      <c r="T681" s="10"/>
      <c r="U681" s="13"/>
      <c r="V681" s="13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3"/>
      <c r="AL681" s="14"/>
      <c r="AM681" s="15"/>
      <c r="AN681" s="15"/>
      <c r="AO681" s="13"/>
      <c r="AP681" s="13"/>
      <c r="AQ681" s="16"/>
      <c r="AR681" s="10"/>
      <c r="AS681" s="10"/>
      <c r="AT681" s="10"/>
      <c r="AU681" s="10"/>
      <c r="AV681" s="11"/>
      <c r="AW681" s="11"/>
      <c r="AX681" s="10"/>
      <c r="AY681" s="11"/>
      <c r="AZ681" s="11"/>
      <c r="BA681" s="11"/>
      <c r="BB681" s="10"/>
      <c r="BC681" s="11"/>
      <c r="BD681" s="11"/>
      <c r="BE681" s="11"/>
      <c r="BF681" s="11"/>
      <c r="BG681" s="11"/>
      <c r="BH681" s="11"/>
      <c r="BI681" s="11"/>
      <c r="BJ681" s="11"/>
      <c r="BK681" s="11"/>
      <c r="BL681" s="11"/>
      <c r="BM681" s="11"/>
      <c r="BN681" s="11"/>
      <c r="BO681" s="11"/>
      <c r="BP681" s="11"/>
      <c r="BQ681" s="11"/>
      <c r="BR681" s="11"/>
      <c r="BS681" s="11"/>
      <c r="BT681" s="11"/>
      <c r="BU681" s="11"/>
      <c r="BV681" s="11"/>
      <c r="BW681" s="11"/>
      <c r="BX681" s="11"/>
      <c r="BY681" s="11"/>
      <c r="BZ681" s="11"/>
      <c r="CA681" s="11"/>
      <c r="CB681" s="11"/>
      <c r="CC681" s="17"/>
      <c r="CD681" s="17"/>
      <c r="CE681" s="11"/>
      <c r="CF681" s="13"/>
      <c r="CG681" s="13"/>
      <c r="CH681" s="13"/>
      <c r="CI681" s="13"/>
      <c r="CJ681" s="13"/>
    </row>
    <row r="682" spans="1:88" s="9" customFormat="1" x14ac:dyDescent="0.25">
      <c r="A682" s="10"/>
      <c r="B682" s="10"/>
      <c r="C682" s="10"/>
      <c r="D682" s="10"/>
      <c r="E682" s="11"/>
      <c r="F682" s="10"/>
      <c r="G682" s="10"/>
      <c r="H682" s="10"/>
      <c r="I682" s="10"/>
      <c r="J682" s="10"/>
      <c r="K682" s="12"/>
      <c r="L682" s="10"/>
      <c r="M682" s="10"/>
      <c r="N682" s="13"/>
      <c r="O682" s="10"/>
      <c r="P682" s="10"/>
      <c r="Q682" s="10"/>
      <c r="R682" s="18"/>
      <c r="S682" s="10"/>
      <c r="T682" s="10"/>
      <c r="U682" s="13"/>
      <c r="V682" s="13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3"/>
      <c r="AL682" s="14"/>
      <c r="AM682" s="15"/>
      <c r="AN682" s="15"/>
      <c r="AO682" s="13"/>
      <c r="AP682" s="13"/>
      <c r="AQ682" s="16"/>
      <c r="AR682" s="10"/>
      <c r="AS682" s="10"/>
      <c r="AT682" s="10"/>
      <c r="AU682" s="10"/>
      <c r="AV682" s="11"/>
      <c r="AW682" s="11"/>
      <c r="AX682" s="10"/>
      <c r="AY682" s="11"/>
      <c r="AZ682" s="11"/>
      <c r="BA682" s="11"/>
      <c r="BB682" s="10"/>
      <c r="BC682" s="11"/>
      <c r="BD682" s="11"/>
      <c r="BE682" s="11"/>
      <c r="BF682" s="11"/>
      <c r="BG682" s="11"/>
      <c r="BH682" s="11"/>
      <c r="BI682" s="11"/>
      <c r="BJ682" s="11"/>
      <c r="BK682" s="11"/>
      <c r="BL682" s="11"/>
      <c r="BM682" s="11"/>
      <c r="BN682" s="11"/>
      <c r="BO682" s="11"/>
      <c r="BP682" s="11"/>
      <c r="BQ682" s="11"/>
      <c r="BR682" s="11"/>
      <c r="BS682" s="11"/>
      <c r="BT682" s="11"/>
      <c r="BU682" s="11"/>
      <c r="BV682" s="11"/>
      <c r="BW682" s="11"/>
      <c r="BX682" s="11"/>
      <c r="BY682" s="11"/>
      <c r="BZ682" s="11"/>
      <c r="CA682" s="11"/>
      <c r="CB682" s="11"/>
      <c r="CC682" s="17"/>
      <c r="CD682" s="17"/>
      <c r="CE682" s="11"/>
      <c r="CF682" s="13"/>
      <c r="CG682" s="13"/>
      <c r="CH682" s="13"/>
      <c r="CI682" s="13"/>
      <c r="CJ682" s="13"/>
    </row>
    <row r="683" spans="1:88" s="9" customFormat="1" x14ac:dyDescent="0.25">
      <c r="A683" s="10"/>
      <c r="B683" s="10"/>
      <c r="C683" s="10"/>
      <c r="D683" s="10"/>
      <c r="E683" s="11"/>
      <c r="F683" s="10"/>
      <c r="G683" s="10"/>
      <c r="H683" s="10"/>
      <c r="I683" s="10"/>
      <c r="J683" s="10"/>
      <c r="K683" s="12"/>
      <c r="L683" s="10"/>
      <c r="M683" s="10"/>
      <c r="N683" s="13"/>
      <c r="O683" s="10"/>
      <c r="P683" s="10"/>
      <c r="Q683" s="10"/>
      <c r="R683" s="18"/>
      <c r="S683" s="10"/>
      <c r="T683" s="10"/>
      <c r="U683" s="13"/>
      <c r="V683" s="13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3"/>
      <c r="AL683" s="14"/>
      <c r="AM683" s="15"/>
      <c r="AN683" s="15"/>
      <c r="AO683" s="13"/>
      <c r="AP683" s="13"/>
      <c r="AQ683" s="16"/>
      <c r="AR683" s="10"/>
      <c r="AS683" s="10"/>
      <c r="AT683" s="10"/>
      <c r="AU683" s="10"/>
      <c r="AV683" s="11"/>
      <c r="AW683" s="11"/>
      <c r="AX683" s="10"/>
      <c r="AY683" s="11"/>
      <c r="AZ683" s="11"/>
      <c r="BA683" s="11"/>
      <c r="BB683" s="10"/>
      <c r="BC683" s="11"/>
      <c r="BD683" s="11"/>
      <c r="BE683" s="11"/>
      <c r="BF683" s="11"/>
      <c r="BG683" s="11"/>
      <c r="BH683" s="11"/>
      <c r="BI683" s="11"/>
      <c r="BJ683" s="11"/>
      <c r="BK683" s="11"/>
      <c r="BL683" s="11"/>
      <c r="BM683" s="11"/>
      <c r="BN683" s="11"/>
      <c r="BO683" s="11"/>
      <c r="BP683" s="11"/>
      <c r="BQ683" s="11"/>
      <c r="BR683" s="11"/>
      <c r="BS683" s="11"/>
      <c r="BT683" s="11"/>
      <c r="BU683" s="11"/>
      <c r="BV683" s="11"/>
      <c r="BW683" s="11"/>
      <c r="BX683" s="11"/>
      <c r="BY683" s="11"/>
      <c r="BZ683" s="11"/>
      <c r="CA683" s="11"/>
      <c r="CB683" s="11"/>
      <c r="CC683" s="17"/>
      <c r="CD683" s="17"/>
      <c r="CE683" s="11"/>
      <c r="CF683" s="13"/>
      <c r="CG683" s="13"/>
      <c r="CH683" s="13"/>
      <c r="CI683" s="13"/>
      <c r="CJ683" s="13"/>
    </row>
    <row r="684" spans="1:88" s="9" customFormat="1" x14ac:dyDescent="0.25">
      <c r="A684" s="10"/>
      <c r="B684" s="10"/>
      <c r="C684" s="10"/>
      <c r="D684" s="10"/>
      <c r="E684" s="11"/>
      <c r="F684" s="10"/>
      <c r="G684" s="10"/>
      <c r="H684" s="10"/>
      <c r="I684" s="10"/>
      <c r="J684" s="10"/>
      <c r="K684" s="12"/>
      <c r="L684" s="10"/>
      <c r="M684" s="10"/>
      <c r="N684" s="13"/>
      <c r="O684" s="10"/>
      <c r="P684" s="10"/>
      <c r="Q684" s="10"/>
      <c r="R684" s="18"/>
      <c r="S684" s="10"/>
      <c r="T684" s="10"/>
      <c r="U684" s="13"/>
      <c r="V684" s="13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3"/>
      <c r="AL684" s="14"/>
      <c r="AM684" s="15"/>
      <c r="AN684" s="15"/>
      <c r="AO684" s="13"/>
      <c r="AP684" s="13"/>
      <c r="AQ684" s="16"/>
      <c r="AR684" s="10"/>
      <c r="AS684" s="10"/>
      <c r="AT684" s="10"/>
      <c r="AU684" s="10"/>
      <c r="AV684" s="11"/>
      <c r="AW684" s="11"/>
      <c r="AX684" s="10"/>
      <c r="AY684" s="11"/>
      <c r="AZ684" s="11"/>
      <c r="BA684" s="11"/>
      <c r="BB684" s="10"/>
      <c r="BC684" s="11"/>
      <c r="BD684" s="11"/>
      <c r="BE684" s="11"/>
      <c r="BF684" s="11"/>
      <c r="BG684" s="11"/>
      <c r="BH684" s="11"/>
      <c r="BI684" s="11"/>
      <c r="BJ684" s="11"/>
      <c r="BK684" s="11"/>
      <c r="BL684" s="11"/>
      <c r="BM684" s="11"/>
      <c r="BN684" s="11"/>
      <c r="BO684" s="11"/>
      <c r="BP684" s="11"/>
      <c r="BQ684" s="11"/>
      <c r="BR684" s="11"/>
      <c r="BS684" s="11"/>
      <c r="BT684" s="11"/>
      <c r="BU684" s="11"/>
      <c r="BV684" s="11"/>
      <c r="BW684" s="11"/>
      <c r="BX684" s="11"/>
      <c r="BY684" s="11"/>
      <c r="BZ684" s="11"/>
      <c r="CA684" s="11"/>
      <c r="CB684" s="11"/>
      <c r="CC684" s="17"/>
      <c r="CD684" s="17"/>
      <c r="CE684" s="11"/>
      <c r="CF684" s="13"/>
      <c r="CG684" s="13"/>
      <c r="CH684" s="13"/>
      <c r="CI684" s="13"/>
      <c r="CJ684" s="13"/>
    </row>
    <row r="685" spans="1:88" s="9" customFormat="1" x14ac:dyDescent="0.25">
      <c r="A685" s="10"/>
      <c r="B685" s="10"/>
      <c r="C685" s="10"/>
      <c r="D685" s="10"/>
      <c r="E685" s="11"/>
      <c r="F685" s="10"/>
      <c r="G685" s="10"/>
      <c r="H685" s="10"/>
      <c r="I685" s="10"/>
      <c r="J685" s="10"/>
      <c r="K685" s="12"/>
      <c r="L685" s="10"/>
      <c r="M685" s="10"/>
      <c r="N685" s="13"/>
      <c r="O685" s="10"/>
      <c r="P685" s="10"/>
      <c r="Q685" s="10"/>
      <c r="R685" s="18"/>
      <c r="S685" s="10"/>
      <c r="T685" s="10"/>
      <c r="U685" s="13"/>
      <c r="V685" s="13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3"/>
      <c r="AL685" s="14"/>
      <c r="AM685" s="15"/>
      <c r="AN685" s="15"/>
      <c r="AO685" s="13"/>
      <c r="AP685" s="13"/>
      <c r="AQ685" s="16"/>
      <c r="AR685" s="10"/>
      <c r="AS685" s="10"/>
      <c r="AT685" s="10"/>
      <c r="AU685" s="10"/>
      <c r="AV685" s="11"/>
      <c r="AW685" s="11"/>
      <c r="AX685" s="10"/>
      <c r="AY685" s="11"/>
      <c r="AZ685" s="11"/>
      <c r="BA685" s="11"/>
      <c r="BB685" s="10"/>
      <c r="BC685" s="11"/>
      <c r="BD685" s="11"/>
      <c r="BE685" s="11"/>
      <c r="BF685" s="11"/>
      <c r="BG685" s="11"/>
      <c r="BH685" s="11"/>
      <c r="BI685" s="11"/>
      <c r="BJ685" s="11"/>
      <c r="BK685" s="11"/>
      <c r="BL685" s="11"/>
      <c r="BM685" s="11"/>
      <c r="BN685" s="11"/>
      <c r="BO685" s="11"/>
      <c r="BP685" s="11"/>
      <c r="BQ685" s="11"/>
      <c r="BR685" s="11"/>
      <c r="BS685" s="11"/>
      <c r="BT685" s="11"/>
      <c r="BU685" s="11"/>
      <c r="BV685" s="11"/>
      <c r="BW685" s="11"/>
      <c r="BX685" s="11"/>
      <c r="BY685" s="11"/>
      <c r="BZ685" s="11"/>
      <c r="CA685" s="11"/>
      <c r="CB685" s="11"/>
      <c r="CC685" s="17"/>
      <c r="CD685" s="17"/>
      <c r="CE685" s="11"/>
      <c r="CF685" s="13"/>
      <c r="CG685" s="13"/>
      <c r="CH685" s="13"/>
      <c r="CI685" s="13"/>
      <c r="CJ685" s="13"/>
    </row>
    <row r="686" spans="1:88" s="9" customFormat="1" x14ac:dyDescent="0.25">
      <c r="A686" s="10"/>
      <c r="B686" s="10"/>
      <c r="C686" s="10"/>
      <c r="D686" s="10"/>
      <c r="E686" s="11"/>
      <c r="F686" s="10"/>
      <c r="G686" s="10"/>
      <c r="H686" s="10"/>
      <c r="I686" s="10"/>
      <c r="J686" s="10"/>
      <c r="K686" s="12"/>
      <c r="L686" s="10"/>
      <c r="M686" s="10"/>
      <c r="N686" s="13"/>
      <c r="O686" s="10"/>
      <c r="P686" s="10"/>
      <c r="Q686" s="10"/>
      <c r="R686" s="18"/>
      <c r="S686" s="10"/>
      <c r="T686" s="10"/>
      <c r="U686" s="13"/>
      <c r="V686" s="13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3"/>
      <c r="AL686" s="14"/>
      <c r="AM686" s="15"/>
      <c r="AN686" s="15"/>
      <c r="AO686" s="13"/>
      <c r="AP686" s="13"/>
      <c r="AQ686" s="16"/>
      <c r="AR686" s="10"/>
      <c r="AS686" s="10"/>
      <c r="AT686" s="10"/>
      <c r="AU686" s="10"/>
      <c r="AV686" s="11"/>
      <c r="AW686" s="11"/>
      <c r="AX686" s="10"/>
      <c r="AY686" s="11"/>
      <c r="AZ686" s="11"/>
      <c r="BA686" s="11"/>
      <c r="BB686" s="10"/>
      <c r="BC686" s="11"/>
      <c r="BD686" s="11"/>
      <c r="BE686" s="11"/>
      <c r="BF686" s="11"/>
      <c r="BG686" s="11"/>
      <c r="BH686" s="11"/>
      <c r="BI686" s="11"/>
      <c r="BJ686" s="11"/>
      <c r="BK686" s="11"/>
      <c r="BL686" s="11"/>
      <c r="BM686" s="11"/>
      <c r="BN686" s="11"/>
      <c r="BO686" s="11"/>
      <c r="BP686" s="11"/>
      <c r="BQ686" s="11"/>
      <c r="BR686" s="11"/>
      <c r="BS686" s="11"/>
      <c r="BT686" s="11"/>
      <c r="BU686" s="11"/>
      <c r="BV686" s="11"/>
      <c r="BW686" s="11"/>
      <c r="BX686" s="11"/>
      <c r="BY686" s="11"/>
      <c r="BZ686" s="11"/>
      <c r="CA686" s="11"/>
      <c r="CB686" s="11"/>
      <c r="CC686" s="17"/>
      <c r="CD686" s="17"/>
      <c r="CE686" s="11"/>
      <c r="CF686" s="13"/>
      <c r="CG686" s="13"/>
      <c r="CH686" s="13"/>
      <c r="CI686" s="13"/>
      <c r="CJ686" s="13"/>
    </row>
    <row r="687" spans="1:88" s="9" customFormat="1" x14ac:dyDescent="0.25">
      <c r="A687" s="10"/>
      <c r="B687" s="10"/>
      <c r="C687" s="10"/>
      <c r="D687" s="10"/>
      <c r="E687" s="11"/>
      <c r="F687" s="10"/>
      <c r="G687" s="10"/>
      <c r="H687" s="10"/>
      <c r="I687" s="10"/>
      <c r="J687" s="10"/>
      <c r="K687" s="12"/>
      <c r="L687" s="10"/>
      <c r="M687" s="10"/>
      <c r="N687" s="13"/>
      <c r="O687" s="10"/>
      <c r="P687" s="10"/>
      <c r="Q687" s="10"/>
      <c r="R687" s="18"/>
      <c r="S687" s="10"/>
      <c r="T687" s="10"/>
      <c r="U687" s="13"/>
      <c r="V687" s="13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3"/>
      <c r="AL687" s="14"/>
      <c r="AM687" s="15"/>
      <c r="AN687" s="15"/>
      <c r="AO687" s="13"/>
      <c r="AP687" s="13"/>
      <c r="AQ687" s="16"/>
      <c r="AR687" s="10"/>
      <c r="AS687" s="10"/>
      <c r="AT687" s="10"/>
      <c r="AU687" s="10"/>
      <c r="AV687" s="11"/>
      <c r="AW687" s="11"/>
      <c r="AX687" s="10"/>
      <c r="AY687" s="11"/>
      <c r="AZ687" s="11"/>
      <c r="BA687" s="11"/>
      <c r="BB687" s="10"/>
      <c r="BC687" s="11"/>
      <c r="BD687" s="11"/>
      <c r="BE687" s="11"/>
      <c r="BF687" s="11"/>
      <c r="BG687" s="11"/>
      <c r="BH687" s="11"/>
      <c r="BI687" s="11"/>
      <c r="BJ687" s="11"/>
      <c r="BK687" s="11"/>
      <c r="BL687" s="11"/>
      <c r="BM687" s="11"/>
      <c r="BN687" s="11"/>
      <c r="BO687" s="11"/>
      <c r="BP687" s="11"/>
      <c r="BQ687" s="11"/>
      <c r="BR687" s="11"/>
      <c r="BS687" s="11"/>
      <c r="BT687" s="11"/>
      <c r="BU687" s="11"/>
      <c r="BV687" s="11"/>
      <c r="BW687" s="11"/>
      <c r="BX687" s="11"/>
      <c r="BY687" s="11"/>
      <c r="BZ687" s="11"/>
      <c r="CA687" s="11"/>
      <c r="CB687" s="11"/>
      <c r="CC687" s="17"/>
      <c r="CD687" s="17"/>
      <c r="CE687" s="11"/>
      <c r="CF687" s="13"/>
      <c r="CG687" s="13"/>
      <c r="CH687" s="13"/>
      <c r="CI687" s="13"/>
      <c r="CJ687" s="13"/>
    </row>
    <row r="688" spans="1:88" s="9" customFormat="1" x14ac:dyDescent="0.25">
      <c r="A688" s="10"/>
      <c r="B688" s="10"/>
      <c r="C688" s="10"/>
      <c r="D688" s="10"/>
      <c r="E688" s="11"/>
      <c r="F688" s="10"/>
      <c r="G688" s="10"/>
      <c r="H688" s="10"/>
      <c r="I688" s="10"/>
      <c r="J688" s="10"/>
      <c r="K688" s="12"/>
      <c r="L688" s="10"/>
      <c r="M688" s="10"/>
      <c r="N688" s="13"/>
      <c r="O688" s="10"/>
      <c r="P688" s="10"/>
      <c r="Q688" s="10"/>
      <c r="R688" s="18"/>
      <c r="S688" s="10"/>
      <c r="T688" s="10"/>
      <c r="U688" s="13"/>
      <c r="V688" s="13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3"/>
      <c r="AL688" s="14"/>
      <c r="AM688" s="15"/>
      <c r="AN688" s="15"/>
      <c r="AO688" s="13"/>
      <c r="AP688" s="13"/>
      <c r="AQ688" s="16"/>
      <c r="AR688" s="10"/>
      <c r="AS688" s="10"/>
      <c r="AT688" s="10"/>
      <c r="AU688" s="10"/>
      <c r="AV688" s="11"/>
      <c r="AW688" s="11"/>
      <c r="AX688" s="10"/>
      <c r="AY688" s="11"/>
      <c r="AZ688" s="11"/>
      <c r="BA688" s="11"/>
      <c r="BB688" s="10"/>
      <c r="BC688" s="11"/>
      <c r="BD688" s="11"/>
      <c r="BE688" s="11"/>
      <c r="BF688" s="11"/>
      <c r="BG688" s="11"/>
      <c r="BH688" s="11"/>
      <c r="BI688" s="11"/>
      <c r="BJ688" s="11"/>
      <c r="BK688" s="11"/>
      <c r="BL688" s="11"/>
      <c r="BM688" s="11"/>
      <c r="BN688" s="11"/>
      <c r="BO688" s="11"/>
      <c r="BP688" s="11"/>
      <c r="BQ688" s="11"/>
      <c r="BR688" s="11"/>
      <c r="BS688" s="11"/>
      <c r="BT688" s="11"/>
      <c r="BU688" s="11"/>
      <c r="BV688" s="11"/>
      <c r="BW688" s="11"/>
      <c r="BX688" s="11"/>
      <c r="BY688" s="11"/>
      <c r="BZ688" s="11"/>
      <c r="CA688" s="11"/>
      <c r="CB688" s="11"/>
      <c r="CC688" s="17"/>
      <c r="CD688" s="17"/>
      <c r="CE688" s="11"/>
      <c r="CF688" s="13"/>
      <c r="CG688" s="13"/>
      <c r="CH688" s="13"/>
      <c r="CI688" s="13"/>
      <c r="CJ688" s="13"/>
    </row>
    <row r="689" spans="1:88" s="9" customFormat="1" x14ac:dyDescent="0.25">
      <c r="A689" s="10"/>
      <c r="B689" s="10"/>
      <c r="C689" s="10"/>
      <c r="D689" s="10"/>
      <c r="E689" s="11"/>
      <c r="F689" s="10"/>
      <c r="G689" s="10"/>
      <c r="H689" s="10"/>
      <c r="I689" s="10"/>
      <c r="J689" s="10"/>
      <c r="K689" s="12"/>
      <c r="L689" s="10"/>
      <c r="M689" s="10"/>
      <c r="N689" s="13"/>
      <c r="O689" s="10"/>
      <c r="P689" s="10"/>
      <c r="Q689" s="10"/>
      <c r="R689" s="18"/>
      <c r="S689" s="10"/>
      <c r="T689" s="10"/>
      <c r="U689" s="13"/>
      <c r="V689" s="13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3"/>
      <c r="AL689" s="14"/>
      <c r="AM689" s="15"/>
      <c r="AN689" s="15"/>
      <c r="AO689" s="13"/>
      <c r="AP689" s="13"/>
      <c r="AQ689" s="16"/>
      <c r="AR689" s="10"/>
      <c r="AS689" s="10"/>
      <c r="AT689" s="10"/>
      <c r="AU689" s="10"/>
      <c r="AV689" s="11"/>
      <c r="AW689" s="11"/>
      <c r="AX689" s="10"/>
      <c r="AY689" s="11"/>
      <c r="AZ689" s="11"/>
      <c r="BA689" s="11"/>
      <c r="BB689" s="10"/>
      <c r="BC689" s="11"/>
      <c r="BD689" s="11"/>
      <c r="BE689" s="11"/>
      <c r="BF689" s="11"/>
      <c r="BG689" s="11"/>
      <c r="BH689" s="11"/>
      <c r="BI689" s="11"/>
      <c r="BJ689" s="11"/>
      <c r="BK689" s="11"/>
      <c r="BL689" s="11"/>
      <c r="BM689" s="11"/>
      <c r="BN689" s="11"/>
      <c r="BO689" s="11"/>
      <c r="BP689" s="11"/>
      <c r="BQ689" s="11"/>
      <c r="BR689" s="11"/>
      <c r="BS689" s="11"/>
      <c r="BT689" s="11"/>
      <c r="BU689" s="11"/>
      <c r="BV689" s="11"/>
      <c r="BW689" s="11"/>
      <c r="BX689" s="11"/>
      <c r="BY689" s="11"/>
      <c r="BZ689" s="11"/>
      <c r="CA689" s="11"/>
      <c r="CB689" s="11"/>
      <c r="CC689" s="17"/>
      <c r="CD689" s="17"/>
      <c r="CE689" s="11"/>
      <c r="CF689" s="13"/>
      <c r="CG689" s="13"/>
      <c r="CH689" s="13"/>
      <c r="CI689" s="13"/>
      <c r="CJ689" s="13"/>
    </row>
    <row r="690" spans="1:88" s="9" customFormat="1" x14ac:dyDescent="0.25">
      <c r="A690" s="10"/>
      <c r="B690" s="10"/>
      <c r="C690" s="10"/>
      <c r="D690" s="10"/>
      <c r="E690" s="11"/>
      <c r="F690" s="10"/>
      <c r="G690" s="10"/>
      <c r="H690" s="10"/>
      <c r="I690" s="10"/>
      <c r="J690" s="10"/>
      <c r="K690" s="12"/>
      <c r="L690" s="10"/>
      <c r="M690" s="10"/>
      <c r="N690" s="13"/>
      <c r="O690" s="10"/>
      <c r="P690" s="10"/>
      <c r="Q690" s="10"/>
      <c r="R690" s="18"/>
      <c r="S690" s="10"/>
      <c r="T690" s="10"/>
      <c r="U690" s="13"/>
      <c r="V690" s="13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3"/>
      <c r="AL690" s="14"/>
      <c r="AM690" s="15"/>
      <c r="AN690" s="15"/>
      <c r="AO690" s="13"/>
      <c r="AP690" s="13"/>
      <c r="AQ690" s="16"/>
      <c r="AR690" s="10"/>
      <c r="AS690" s="10"/>
      <c r="AT690" s="10"/>
      <c r="AU690" s="10"/>
      <c r="AV690" s="11"/>
      <c r="AW690" s="11"/>
      <c r="AX690" s="10"/>
      <c r="AY690" s="11"/>
      <c r="AZ690" s="11"/>
      <c r="BA690" s="11"/>
      <c r="BB690" s="10"/>
      <c r="BC690" s="11"/>
      <c r="BD690" s="11"/>
      <c r="BE690" s="11"/>
      <c r="BF690" s="11"/>
      <c r="BG690" s="11"/>
      <c r="BH690" s="11"/>
      <c r="BI690" s="11"/>
      <c r="BJ690" s="11"/>
      <c r="BK690" s="11"/>
      <c r="BL690" s="11"/>
      <c r="BM690" s="11"/>
      <c r="BN690" s="11"/>
      <c r="BO690" s="11"/>
      <c r="BP690" s="11"/>
      <c r="BQ690" s="11"/>
      <c r="BR690" s="11"/>
      <c r="BS690" s="11"/>
      <c r="BT690" s="11"/>
      <c r="BU690" s="11"/>
      <c r="BV690" s="11"/>
      <c r="BW690" s="11"/>
      <c r="BX690" s="11"/>
      <c r="BY690" s="11"/>
      <c r="BZ690" s="11"/>
      <c r="CA690" s="11"/>
      <c r="CB690" s="11"/>
      <c r="CC690" s="17"/>
      <c r="CD690" s="17"/>
      <c r="CE690" s="11"/>
      <c r="CF690" s="13"/>
      <c r="CG690" s="13"/>
      <c r="CH690" s="13"/>
      <c r="CI690" s="13"/>
      <c r="CJ690" s="13"/>
    </row>
    <row r="691" spans="1:88" s="9" customFormat="1" x14ac:dyDescent="0.25">
      <c r="A691" s="10"/>
      <c r="B691" s="10"/>
      <c r="C691" s="10"/>
      <c r="D691" s="10"/>
      <c r="E691" s="11"/>
      <c r="F691" s="10"/>
      <c r="G691" s="10"/>
      <c r="H691" s="10"/>
      <c r="I691" s="10"/>
      <c r="J691" s="10"/>
      <c r="K691" s="12"/>
      <c r="L691" s="10"/>
      <c r="M691" s="10"/>
      <c r="N691" s="13"/>
      <c r="O691" s="10"/>
      <c r="P691" s="10"/>
      <c r="Q691" s="10"/>
      <c r="R691" s="18"/>
      <c r="S691" s="10"/>
      <c r="T691" s="10"/>
      <c r="U691" s="13"/>
      <c r="V691" s="13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3"/>
      <c r="AL691" s="14"/>
      <c r="AM691" s="15"/>
      <c r="AN691" s="15"/>
      <c r="AO691" s="13"/>
      <c r="AP691" s="13"/>
      <c r="AQ691" s="16"/>
      <c r="AR691" s="10"/>
      <c r="AS691" s="10"/>
      <c r="AT691" s="10"/>
      <c r="AU691" s="10"/>
      <c r="AV691" s="11"/>
      <c r="AW691" s="11"/>
      <c r="AX691" s="10"/>
      <c r="AY691" s="11"/>
      <c r="AZ691" s="11"/>
      <c r="BA691" s="11"/>
      <c r="BB691" s="10"/>
      <c r="BC691" s="11"/>
      <c r="BD691" s="11"/>
      <c r="BE691" s="11"/>
      <c r="BF691" s="11"/>
      <c r="BG691" s="11"/>
      <c r="BH691" s="11"/>
      <c r="BI691" s="11"/>
      <c r="BJ691" s="11"/>
      <c r="BK691" s="11"/>
      <c r="BL691" s="11"/>
      <c r="BM691" s="11"/>
      <c r="BN691" s="11"/>
      <c r="BO691" s="11"/>
      <c r="BP691" s="11"/>
      <c r="BQ691" s="11"/>
      <c r="BR691" s="11"/>
      <c r="BS691" s="11"/>
      <c r="BT691" s="11"/>
      <c r="BU691" s="11"/>
      <c r="BV691" s="11"/>
      <c r="BW691" s="11"/>
      <c r="BX691" s="11"/>
      <c r="BY691" s="11"/>
      <c r="BZ691" s="11"/>
      <c r="CA691" s="11"/>
      <c r="CB691" s="11"/>
      <c r="CC691" s="17"/>
      <c r="CD691" s="17"/>
      <c r="CE691" s="11"/>
      <c r="CF691" s="13"/>
      <c r="CG691" s="13"/>
      <c r="CH691" s="13"/>
      <c r="CI691" s="13"/>
      <c r="CJ691" s="13"/>
    </row>
    <row r="692" spans="1:88" s="9" customFormat="1" x14ac:dyDescent="0.25">
      <c r="A692" s="10"/>
      <c r="B692" s="10"/>
      <c r="C692" s="10"/>
      <c r="D692" s="10"/>
      <c r="E692" s="11"/>
      <c r="F692" s="10"/>
      <c r="G692" s="10"/>
      <c r="H692" s="10"/>
      <c r="I692" s="10"/>
      <c r="J692" s="10"/>
      <c r="K692" s="12"/>
      <c r="L692" s="10"/>
      <c r="M692" s="10"/>
      <c r="N692" s="13"/>
      <c r="O692" s="10"/>
      <c r="P692" s="10"/>
      <c r="Q692" s="10"/>
      <c r="R692" s="18"/>
      <c r="S692" s="10"/>
      <c r="T692" s="10"/>
      <c r="U692" s="13"/>
      <c r="V692" s="13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3"/>
      <c r="AL692" s="14"/>
      <c r="AM692" s="15"/>
      <c r="AN692" s="15"/>
      <c r="AO692" s="13"/>
      <c r="AP692" s="13"/>
      <c r="AQ692" s="16"/>
      <c r="AR692" s="10"/>
      <c r="AS692" s="10"/>
      <c r="AT692" s="10"/>
      <c r="AU692" s="10"/>
      <c r="AV692" s="11"/>
      <c r="AW692" s="11"/>
      <c r="AX692" s="10"/>
      <c r="AY692" s="11"/>
      <c r="AZ692" s="11"/>
      <c r="BA692" s="11"/>
      <c r="BB692" s="10"/>
      <c r="BC692" s="11"/>
      <c r="BD692" s="11"/>
      <c r="BE692" s="11"/>
      <c r="BF692" s="11"/>
      <c r="BG692" s="11"/>
      <c r="BH692" s="11"/>
      <c r="BI692" s="11"/>
      <c r="BJ692" s="11"/>
      <c r="BK692" s="11"/>
      <c r="BL692" s="11"/>
      <c r="BM692" s="11"/>
      <c r="BN692" s="11"/>
      <c r="BO692" s="11"/>
      <c r="BP692" s="11"/>
      <c r="BQ692" s="11"/>
      <c r="BR692" s="11"/>
      <c r="BS692" s="11"/>
      <c r="BT692" s="11"/>
      <c r="BU692" s="11"/>
      <c r="BV692" s="11"/>
      <c r="BW692" s="11"/>
      <c r="BX692" s="11"/>
      <c r="BY692" s="11"/>
      <c r="BZ692" s="11"/>
      <c r="CA692" s="11"/>
      <c r="CB692" s="11"/>
      <c r="CC692" s="17"/>
      <c r="CD692" s="17"/>
      <c r="CE692" s="11"/>
      <c r="CF692" s="13"/>
      <c r="CG692" s="13"/>
      <c r="CH692" s="13"/>
      <c r="CI692" s="13"/>
      <c r="CJ692" s="13"/>
    </row>
    <row r="693" spans="1:88" s="9" customFormat="1" x14ac:dyDescent="0.25">
      <c r="A693" s="10"/>
      <c r="B693" s="10"/>
      <c r="C693" s="10"/>
      <c r="D693" s="10"/>
      <c r="E693" s="11"/>
      <c r="F693" s="10"/>
      <c r="G693" s="10"/>
      <c r="H693" s="10"/>
      <c r="I693" s="10"/>
      <c r="J693" s="10"/>
      <c r="K693" s="12"/>
      <c r="L693" s="10"/>
      <c r="M693" s="10"/>
      <c r="N693" s="13"/>
      <c r="O693" s="10"/>
      <c r="P693" s="10"/>
      <c r="Q693" s="10"/>
      <c r="R693" s="18"/>
      <c r="S693" s="10"/>
      <c r="T693" s="10"/>
      <c r="U693" s="13"/>
      <c r="V693" s="13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3"/>
      <c r="AL693" s="14"/>
      <c r="AM693" s="15"/>
      <c r="AN693" s="15"/>
      <c r="AO693" s="13"/>
      <c r="AP693" s="13"/>
      <c r="AQ693" s="16"/>
      <c r="AR693" s="10"/>
      <c r="AS693" s="10"/>
      <c r="AT693" s="10"/>
      <c r="AU693" s="10"/>
      <c r="AV693" s="11"/>
      <c r="AW693" s="11"/>
      <c r="AX693" s="10"/>
      <c r="AY693" s="11"/>
      <c r="AZ693" s="11"/>
      <c r="BA693" s="11"/>
      <c r="BB693" s="10"/>
      <c r="BC693" s="11"/>
      <c r="BD693" s="11"/>
      <c r="BE693" s="11"/>
      <c r="BF693" s="11"/>
      <c r="BG693" s="11"/>
      <c r="BH693" s="11"/>
      <c r="BI693" s="11"/>
      <c r="BJ693" s="11"/>
      <c r="BK693" s="11"/>
      <c r="BL693" s="11"/>
      <c r="BM693" s="11"/>
      <c r="BN693" s="11"/>
      <c r="BO693" s="11"/>
      <c r="BP693" s="11"/>
      <c r="BQ693" s="11"/>
      <c r="BR693" s="11"/>
      <c r="BS693" s="11"/>
      <c r="BT693" s="11"/>
      <c r="BU693" s="11"/>
      <c r="BV693" s="11"/>
      <c r="BW693" s="11"/>
      <c r="BX693" s="11"/>
      <c r="BY693" s="11"/>
      <c r="BZ693" s="11"/>
      <c r="CA693" s="11"/>
      <c r="CB693" s="11"/>
      <c r="CC693" s="17"/>
      <c r="CD693" s="17"/>
      <c r="CE693" s="11"/>
      <c r="CF693" s="13"/>
      <c r="CG693" s="13"/>
      <c r="CH693" s="13"/>
      <c r="CI693" s="13"/>
      <c r="CJ693" s="13"/>
    </row>
    <row r="694" spans="1:88" s="9" customFormat="1" x14ac:dyDescent="0.25">
      <c r="A694" s="10"/>
      <c r="B694" s="10"/>
      <c r="C694" s="10"/>
      <c r="D694" s="10"/>
      <c r="E694" s="11"/>
      <c r="F694" s="10"/>
      <c r="G694" s="10"/>
      <c r="H694" s="10"/>
      <c r="I694" s="10"/>
      <c r="J694" s="10"/>
      <c r="K694" s="12"/>
      <c r="L694" s="10"/>
      <c r="M694" s="10"/>
      <c r="N694" s="13"/>
      <c r="O694" s="10"/>
      <c r="P694" s="10"/>
      <c r="Q694" s="10"/>
      <c r="R694" s="18"/>
      <c r="S694" s="10"/>
      <c r="T694" s="10"/>
      <c r="U694" s="13"/>
      <c r="V694" s="13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3"/>
      <c r="AL694" s="14"/>
      <c r="AM694" s="15"/>
      <c r="AN694" s="15"/>
      <c r="AO694" s="13"/>
      <c r="AP694" s="13"/>
      <c r="AQ694" s="16"/>
      <c r="AR694" s="10"/>
      <c r="AS694" s="10"/>
      <c r="AT694" s="10"/>
      <c r="AU694" s="10"/>
      <c r="AV694" s="11"/>
      <c r="AW694" s="11"/>
      <c r="AX694" s="10"/>
      <c r="AY694" s="11"/>
      <c r="AZ694" s="11"/>
      <c r="BA694" s="11"/>
      <c r="BB694" s="10"/>
      <c r="BC694" s="11"/>
      <c r="BD694" s="11"/>
      <c r="BE694" s="11"/>
      <c r="BF694" s="11"/>
      <c r="BG694" s="11"/>
      <c r="BH694" s="11"/>
      <c r="BI694" s="11"/>
      <c r="BJ694" s="11"/>
      <c r="BK694" s="11"/>
      <c r="BL694" s="11"/>
      <c r="BM694" s="11"/>
      <c r="BN694" s="11"/>
      <c r="BO694" s="11"/>
      <c r="BP694" s="11"/>
      <c r="BQ694" s="11"/>
      <c r="BR694" s="11"/>
      <c r="BS694" s="11"/>
      <c r="BT694" s="11"/>
      <c r="BU694" s="11"/>
      <c r="BV694" s="11"/>
      <c r="BW694" s="11"/>
      <c r="BX694" s="11"/>
      <c r="BY694" s="11"/>
      <c r="BZ694" s="11"/>
      <c r="CA694" s="11"/>
      <c r="CB694" s="11"/>
      <c r="CC694" s="17"/>
      <c r="CD694" s="17"/>
      <c r="CE694" s="11"/>
      <c r="CF694" s="13"/>
      <c r="CG694" s="13"/>
      <c r="CH694" s="13"/>
      <c r="CI694" s="13"/>
      <c r="CJ694" s="13"/>
    </row>
    <row r="695" spans="1:88" s="9" customFormat="1" x14ac:dyDescent="0.25">
      <c r="A695" s="10"/>
      <c r="B695" s="10"/>
      <c r="C695" s="10"/>
      <c r="D695" s="10"/>
      <c r="E695" s="11"/>
      <c r="F695" s="10"/>
      <c r="G695" s="10"/>
      <c r="H695" s="10"/>
      <c r="I695" s="10"/>
      <c r="J695" s="10"/>
      <c r="K695" s="12"/>
      <c r="L695" s="10"/>
      <c r="M695" s="10"/>
      <c r="N695" s="13"/>
      <c r="O695" s="10"/>
      <c r="P695" s="10"/>
      <c r="Q695" s="10"/>
      <c r="R695" s="18"/>
      <c r="S695" s="10"/>
      <c r="T695" s="10"/>
      <c r="U695" s="13"/>
      <c r="V695" s="13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3"/>
      <c r="AL695" s="14"/>
      <c r="AM695" s="15"/>
      <c r="AN695" s="15"/>
      <c r="AO695" s="13"/>
      <c r="AP695" s="13"/>
      <c r="AQ695" s="16"/>
      <c r="AR695" s="10"/>
      <c r="AS695" s="10"/>
      <c r="AT695" s="10"/>
      <c r="AU695" s="10"/>
      <c r="AV695" s="11"/>
      <c r="AW695" s="11"/>
      <c r="AX695" s="10"/>
      <c r="AY695" s="11"/>
      <c r="AZ695" s="11"/>
      <c r="BA695" s="11"/>
      <c r="BB695" s="10"/>
      <c r="BC695" s="11"/>
      <c r="BD695" s="11"/>
      <c r="BE695" s="11"/>
      <c r="BF695" s="11"/>
      <c r="BG695" s="11"/>
      <c r="BH695" s="11"/>
      <c r="BI695" s="11"/>
      <c r="BJ695" s="11"/>
      <c r="BK695" s="11"/>
      <c r="BL695" s="11"/>
      <c r="BM695" s="11"/>
      <c r="BN695" s="11"/>
      <c r="BO695" s="11"/>
      <c r="BP695" s="11"/>
      <c r="BQ695" s="11"/>
      <c r="BR695" s="11"/>
      <c r="BS695" s="11"/>
      <c r="BT695" s="11"/>
      <c r="BU695" s="11"/>
      <c r="BV695" s="11"/>
      <c r="BW695" s="11"/>
      <c r="BX695" s="11"/>
      <c r="BY695" s="11"/>
      <c r="BZ695" s="11"/>
      <c r="CA695" s="11"/>
      <c r="CB695" s="11"/>
      <c r="CC695" s="17"/>
      <c r="CD695" s="17"/>
      <c r="CE695" s="11"/>
      <c r="CF695" s="13"/>
      <c r="CG695" s="13"/>
      <c r="CH695" s="13"/>
      <c r="CI695" s="13"/>
      <c r="CJ695" s="13"/>
    </row>
    <row r="696" spans="1:88" s="9" customFormat="1" x14ac:dyDescent="0.25">
      <c r="A696" s="10"/>
      <c r="B696" s="10"/>
      <c r="C696" s="10"/>
      <c r="D696" s="10"/>
      <c r="E696" s="11"/>
      <c r="F696" s="10"/>
      <c r="G696" s="10"/>
      <c r="H696" s="10"/>
      <c r="I696" s="10"/>
      <c r="J696" s="10"/>
      <c r="K696" s="12"/>
      <c r="L696" s="10"/>
      <c r="M696" s="10"/>
      <c r="N696" s="13"/>
      <c r="O696" s="10"/>
      <c r="P696" s="10"/>
      <c r="Q696" s="10"/>
      <c r="R696" s="18"/>
      <c r="S696" s="10"/>
      <c r="T696" s="10"/>
      <c r="U696" s="13"/>
      <c r="V696" s="13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3"/>
      <c r="AL696" s="14"/>
      <c r="AM696" s="15"/>
      <c r="AN696" s="15"/>
      <c r="AO696" s="13"/>
      <c r="AP696" s="13"/>
      <c r="AQ696" s="16"/>
      <c r="AR696" s="10"/>
      <c r="AS696" s="10"/>
      <c r="AT696" s="10"/>
      <c r="AU696" s="10"/>
      <c r="AV696" s="11"/>
      <c r="AW696" s="11"/>
      <c r="AX696" s="10"/>
      <c r="AY696" s="11"/>
      <c r="AZ696" s="11"/>
      <c r="BA696" s="11"/>
      <c r="BB696" s="10"/>
      <c r="BC696" s="11"/>
      <c r="BD696" s="11"/>
      <c r="BE696" s="11"/>
      <c r="BF696" s="11"/>
      <c r="BG696" s="11"/>
      <c r="BH696" s="11"/>
      <c r="BI696" s="11"/>
      <c r="BJ696" s="11"/>
      <c r="BK696" s="11"/>
      <c r="BL696" s="11"/>
      <c r="BM696" s="11"/>
      <c r="BN696" s="11"/>
      <c r="BO696" s="11"/>
      <c r="BP696" s="11"/>
      <c r="BQ696" s="11"/>
      <c r="BR696" s="11"/>
      <c r="BS696" s="11"/>
      <c r="BT696" s="11"/>
      <c r="BU696" s="11"/>
      <c r="BV696" s="11"/>
      <c r="BW696" s="11"/>
      <c r="BX696" s="11"/>
      <c r="BY696" s="11"/>
      <c r="BZ696" s="11"/>
      <c r="CA696" s="11"/>
      <c r="CB696" s="11"/>
      <c r="CC696" s="17"/>
      <c r="CD696" s="17"/>
      <c r="CE696" s="11"/>
      <c r="CF696" s="13"/>
      <c r="CG696" s="13"/>
      <c r="CH696" s="13"/>
      <c r="CI696" s="13"/>
      <c r="CJ696" s="13"/>
    </row>
    <row r="697" spans="1:88" s="9" customFormat="1" x14ac:dyDescent="0.25">
      <c r="A697" s="10"/>
      <c r="B697" s="10"/>
      <c r="C697" s="10"/>
      <c r="D697" s="10"/>
      <c r="E697" s="11"/>
      <c r="F697" s="10"/>
      <c r="G697" s="10"/>
      <c r="H697" s="10"/>
      <c r="I697" s="10"/>
      <c r="J697" s="10"/>
      <c r="K697" s="12"/>
      <c r="L697" s="10"/>
      <c r="M697" s="10"/>
      <c r="N697" s="13"/>
      <c r="O697" s="10"/>
      <c r="P697" s="10"/>
      <c r="Q697" s="10"/>
      <c r="R697" s="18"/>
      <c r="S697" s="10"/>
      <c r="T697" s="10"/>
      <c r="U697" s="13"/>
      <c r="V697" s="13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3"/>
      <c r="AL697" s="14"/>
      <c r="AM697" s="15"/>
      <c r="AN697" s="15"/>
      <c r="AO697" s="13"/>
      <c r="AP697" s="13"/>
      <c r="AQ697" s="16"/>
      <c r="AR697" s="10"/>
      <c r="AS697" s="10"/>
      <c r="AT697" s="10"/>
      <c r="AU697" s="10"/>
      <c r="AV697" s="11"/>
      <c r="AW697" s="11"/>
      <c r="AX697" s="10"/>
      <c r="AY697" s="11"/>
      <c r="AZ697" s="11"/>
      <c r="BA697" s="11"/>
      <c r="BB697" s="10"/>
      <c r="BC697" s="11"/>
      <c r="BD697" s="11"/>
      <c r="BE697" s="11"/>
      <c r="BF697" s="11"/>
      <c r="BG697" s="11"/>
      <c r="BH697" s="11"/>
      <c r="BI697" s="11"/>
      <c r="BJ697" s="11"/>
      <c r="BK697" s="11"/>
      <c r="BL697" s="11"/>
      <c r="BM697" s="11"/>
      <c r="BN697" s="11"/>
      <c r="BO697" s="11"/>
      <c r="BP697" s="11"/>
      <c r="BQ697" s="11"/>
      <c r="BR697" s="11"/>
      <c r="BS697" s="11"/>
      <c r="BT697" s="11"/>
      <c r="BU697" s="11"/>
      <c r="BV697" s="11"/>
      <c r="BW697" s="11"/>
      <c r="BX697" s="11"/>
      <c r="BY697" s="11"/>
      <c r="BZ697" s="11"/>
      <c r="CA697" s="11"/>
      <c r="CB697" s="11"/>
      <c r="CC697" s="17"/>
      <c r="CD697" s="17"/>
      <c r="CE697" s="11"/>
      <c r="CF697" s="13"/>
      <c r="CG697" s="13"/>
      <c r="CH697" s="13"/>
      <c r="CI697" s="13"/>
      <c r="CJ697" s="13"/>
    </row>
    <row r="698" spans="1:88" s="9" customFormat="1" x14ac:dyDescent="0.25">
      <c r="A698" s="10"/>
      <c r="B698" s="10"/>
      <c r="C698" s="10"/>
      <c r="D698" s="10"/>
      <c r="E698" s="11"/>
      <c r="F698" s="10"/>
      <c r="G698" s="10"/>
      <c r="H698" s="10"/>
      <c r="I698" s="10"/>
      <c r="J698" s="10"/>
      <c r="K698" s="12"/>
      <c r="L698" s="10"/>
      <c r="M698" s="10"/>
      <c r="N698" s="13"/>
      <c r="O698" s="10"/>
      <c r="P698" s="10"/>
      <c r="Q698" s="10"/>
      <c r="R698" s="18"/>
      <c r="S698" s="10"/>
      <c r="T698" s="10"/>
      <c r="U698" s="13"/>
      <c r="V698" s="13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3"/>
      <c r="AL698" s="14"/>
      <c r="AM698" s="15"/>
      <c r="AN698" s="15"/>
      <c r="AO698" s="13"/>
      <c r="AP698" s="13"/>
      <c r="AQ698" s="16"/>
      <c r="AR698" s="10"/>
      <c r="AS698" s="10"/>
      <c r="AT698" s="10"/>
      <c r="AU698" s="10"/>
      <c r="AV698" s="11"/>
      <c r="AW698" s="11"/>
      <c r="AX698" s="10"/>
      <c r="AY698" s="11"/>
      <c r="AZ698" s="11"/>
      <c r="BA698" s="11"/>
      <c r="BB698" s="10"/>
      <c r="BC698" s="11"/>
      <c r="BD698" s="11"/>
      <c r="BE698" s="11"/>
      <c r="BF698" s="11"/>
      <c r="BG698" s="11"/>
      <c r="BH698" s="11"/>
      <c r="BI698" s="11"/>
      <c r="BJ698" s="11"/>
      <c r="BK698" s="11"/>
      <c r="BL698" s="11"/>
      <c r="BM698" s="11"/>
      <c r="BN698" s="11"/>
      <c r="BO698" s="11"/>
      <c r="BP698" s="11"/>
      <c r="BQ698" s="11"/>
      <c r="BR698" s="11"/>
      <c r="BS698" s="11"/>
      <c r="BT698" s="11"/>
      <c r="BU698" s="11"/>
      <c r="BV698" s="11"/>
      <c r="BW698" s="11"/>
      <c r="BX698" s="11"/>
      <c r="BY698" s="11"/>
      <c r="BZ698" s="11"/>
      <c r="CA698" s="11"/>
      <c r="CB698" s="11"/>
      <c r="CC698" s="17"/>
      <c r="CD698" s="17"/>
      <c r="CE698" s="11"/>
      <c r="CF698" s="13"/>
      <c r="CG698" s="13"/>
      <c r="CH698" s="13"/>
      <c r="CI698" s="13"/>
      <c r="CJ698" s="13"/>
    </row>
    <row r="699" spans="1:88" s="9" customFormat="1" x14ac:dyDescent="0.25">
      <c r="A699" s="10"/>
      <c r="B699" s="10"/>
      <c r="C699" s="10"/>
      <c r="D699" s="10"/>
      <c r="E699" s="11"/>
      <c r="F699" s="10"/>
      <c r="G699" s="10"/>
      <c r="H699" s="10"/>
      <c r="I699" s="10"/>
      <c r="J699" s="10"/>
      <c r="K699" s="12"/>
      <c r="L699" s="10"/>
      <c r="M699" s="10"/>
      <c r="N699" s="13"/>
      <c r="O699" s="10"/>
      <c r="P699" s="10"/>
      <c r="Q699" s="10"/>
      <c r="R699" s="18"/>
      <c r="S699" s="10"/>
      <c r="T699" s="10"/>
      <c r="U699" s="13"/>
      <c r="V699" s="13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3"/>
      <c r="AL699" s="14"/>
      <c r="AM699" s="15"/>
      <c r="AN699" s="15"/>
      <c r="AO699" s="13"/>
      <c r="AP699" s="13"/>
      <c r="AQ699" s="16"/>
      <c r="AR699" s="10"/>
      <c r="AS699" s="10"/>
      <c r="AT699" s="10"/>
      <c r="AU699" s="10"/>
      <c r="AV699" s="11"/>
      <c r="AW699" s="11"/>
      <c r="AX699" s="10"/>
      <c r="AY699" s="11"/>
      <c r="AZ699" s="11"/>
      <c r="BA699" s="11"/>
      <c r="BB699" s="10"/>
      <c r="BC699" s="11"/>
      <c r="BD699" s="11"/>
      <c r="BE699" s="11"/>
      <c r="BF699" s="11"/>
      <c r="BG699" s="11"/>
      <c r="BH699" s="11"/>
      <c r="BI699" s="11"/>
      <c r="BJ699" s="11"/>
      <c r="BK699" s="11"/>
      <c r="BL699" s="11"/>
      <c r="BM699" s="11"/>
      <c r="BN699" s="11"/>
      <c r="BO699" s="11"/>
      <c r="BP699" s="11"/>
      <c r="BQ699" s="11"/>
      <c r="BR699" s="11"/>
      <c r="BS699" s="11"/>
      <c r="BT699" s="11"/>
      <c r="BU699" s="11"/>
      <c r="BV699" s="11"/>
      <c r="BW699" s="11"/>
      <c r="BX699" s="11"/>
      <c r="BY699" s="11"/>
      <c r="BZ699" s="11"/>
      <c r="CA699" s="11"/>
      <c r="CB699" s="11"/>
      <c r="CC699" s="17"/>
      <c r="CD699" s="17"/>
      <c r="CE699" s="11"/>
      <c r="CF699" s="13"/>
      <c r="CG699" s="13"/>
      <c r="CH699" s="13"/>
      <c r="CI699" s="13"/>
      <c r="CJ699" s="13"/>
    </row>
    <row r="700" spans="1:88" s="9" customFormat="1" x14ac:dyDescent="0.25">
      <c r="A700" s="10"/>
      <c r="B700" s="10"/>
      <c r="C700" s="10"/>
      <c r="D700" s="10"/>
      <c r="E700" s="11"/>
      <c r="F700" s="10"/>
      <c r="G700" s="10"/>
      <c r="H700" s="10"/>
      <c r="I700" s="10"/>
      <c r="J700" s="10"/>
      <c r="K700" s="12"/>
      <c r="L700" s="10"/>
      <c r="M700" s="10"/>
      <c r="N700" s="13"/>
      <c r="O700" s="10"/>
      <c r="P700" s="10"/>
      <c r="Q700" s="10"/>
      <c r="R700" s="18"/>
      <c r="S700" s="10"/>
      <c r="T700" s="10"/>
      <c r="U700" s="13"/>
      <c r="V700" s="13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3"/>
      <c r="AL700" s="14"/>
      <c r="AM700" s="15"/>
      <c r="AN700" s="15"/>
      <c r="AO700" s="13"/>
      <c r="AP700" s="13"/>
      <c r="AQ700" s="16"/>
      <c r="AR700" s="10"/>
      <c r="AS700" s="10"/>
      <c r="AT700" s="10"/>
      <c r="AU700" s="10"/>
      <c r="AV700" s="11"/>
      <c r="AW700" s="11"/>
      <c r="AX700" s="10"/>
      <c r="AY700" s="11"/>
      <c r="AZ700" s="11"/>
      <c r="BA700" s="11"/>
      <c r="BB700" s="10"/>
      <c r="BC700" s="11"/>
      <c r="BD700" s="11"/>
      <c r="BE700" s="11"/>
      <c r="BF700" s="11"/>
      <c r="BG700" s="11"/>
      <c r="BH700" s="11"/>
      <c r="BI700" s="11"/>
      <c r="BJ700" s="11"/>
      <c r="BK700" s="11"/>
      <c r="BL700" s="11"/>
      <c r="BM700" s="11"/>
      <c r="BN700" s="11"/>
      <c r="BO700" s="11"/>
      <c r="BP700" s="11"/>
      <c r="BQ700" s="11"/>
      <c r="BR700" s="11"/>
      <c r="BS700" s="11"/>
      <c r="BT700" s="11"/>
      <c r="BU700" s="11"/>
      <c r="BV700" s="11"/>
      <c r="BW700" s="11"/>
      <c r="BX700" s="11"/>
      <c r="BY700" s="11"/>
      <c r="BZ700" s="11"/>
      <c r="CA700" s="11"/>
      <c r="CB700" s="11"/>
      <c r="CC700" s="17"/>
      <c r="CD700" s="17"/>
      <c r="CE700" s="11"/>
      <c r="CF700" s="13"/>
      <c r="CG700" s="13"/>
      <c r="CH700" s="13"/>
      <c r="CI700" s="13"/>
      <c r="CJ700" s="13"/>
    </row>
    <row r="701" spans="1:88" s="9" customFormat="1" x14ac:dyDescent="0.25">
      <c r="A701" s="10"/>
      <c r="B701" s="10"/>
      <c r="C701" s="10"/>
      <c r="D701" s="10"/>
      <c r="E701" s="11"/>
      <c r="F701" s="10"/>
      <c r="G701" s="10"/>
      <c r="H701" s="10"/>
      <c r="I701" s="10"/>
      <c r="J701" s="10"/>
      <c r="K701" s="12"/>
      <c r="L701" s="10"/>
      <c r="M701" s="10"/>
      <c r="N701" s="13"/>
      <c r="O701" s="10"/>
      <c r="P701" s="10"/>
      <c r="Q701" s="10"/>
      <c r="R701" s="18"/>
      <c r="S701" s="10"/>
      <c r="T701" s="10"/>
      <c r="U701" s="13"/>
      <c r="V701" s="13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3"/>
      <c r="AL701" s="14"/>
      <c r="AM701" s="15"/>
      <c r="AN701" s="15"/>
      <c r="AO701" s="13"/>
      <c r="AP701" s="13"/>
      <c r="AQ701" s="16"/>
      <c r="AR701" s="10"/>
      <c r="AS701" s="10"/>
      <c r="AT701" s="10"/>
      <c r="AU701" s="10"/>
      <c r="AV701" s="11"/>
      <c r="AW701" s="11"/>
      <c r="AX701" s="10"/>
      <c r="AY701" s="11"/>
      <c r="AZ701" s="11"/>
      <c r="BA701" s="11"/>
      <c r="BB701" s="10"/>
      <c r="BC701" s="11"/>
      <c r="BD701" s="11"/>
      <c r="BE701" s="11"/>
      <c r="BF701" s="11"/>
      <c r="BG701" s="11"/>
      <c r="BH701" s="11"/>
      <c r="BI701" s="11"/>
      <c r="BJ701" s="11"/>
      <c r="BK701" s="11"/>
      <c r="BL701" s="11"/>
      <c r="BM701" s="11"/>
      <c r="BN701" s="11"/>
      <c r="BO701" s="11"/>
      <c r="BP701" s="11"/>
      <c r="BQ701" s="11"/>
      <c r="BR701" s="11"/>
      <c r="BS701" s="11"/>
      <c r="BT701" s="11"/>
      <c r="BU701" s="11"/>
      <c r="BV701" s="11"/>
      <c r="BW701" s="11"/>
      <c r="BX701" s="11"/>
      <c r="BY701" s="11"/>
      <c r="BZ701" s="11"/>
      <c r="CA701" s="11"/>
      <c r="CB701" s="11"/>
      <c r="CC701" s="17"/>
      <c r="CD701" s="17"/>
      <c r="CE701" s="11"/>
      <c r="CF701" s="13"/>
      <c r="CG701" s="13"/>
      <c r="CH701" s="13"/>
      <c r="CI701" s="13"/>
      <c r="CJ701" s="13"/>
    </row>
    <row r="702" spans="1:88" s="9" customFormat="1" x14ac:dyDescent="0.25">
      <c r="A702" s="10"/>
      <c r="B702" s="10"/>
      <c r="C702" s="10"/>
      <c r="D702" s="10"/>
      <c r="E702" s="11"/>
      <c r="F702" s="10"/>
      <c r="G702" s="10"/>
      <c r="H702" s="10"/>
      <c r="I702" s="10"/>
      <c r="J702" s="10"/>
      <c r="K702" s="12"/>
      <c r="L702" s="10"/>
      <c r="M702" s="10"/>
      <c r="N702" s="13"/>
      <c r="O702" s="10"/>
      <c r="P702" s="10"/>
      <c r="Q702" s="10"/>
      <c r="R702" s="18"/>
      <c r="S702" s="10"/>
      <c r="T702" s="10"/>
      <c r="U702" s="13"/>
      <c r="V702" s="13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3"/>
      <c r="AL702" s="14"/>
      <c r="AM702" s="15"/>
      <c r="AN702" s="15"/>
      <c r="AO702" s="13"/>
      <c r="AP702" s="13"/>
      <c r="AQ702" s="16"/>
      <c r="AR702" s="10"/>
      <c r="AS702" s="10"/>
      <c r="AT702" s="10"/>
      <c r="AU702" s="10"/>
      <c r="AV702" s="11"/>
      <c r="AW702" s="11"/>
      <c r="AX702" s="10"/>
      <c r="AY702" s="11"/>
      <c r="AZ702" s="11"/>
      <c r="BA702" s="11"/>
      <c r="BB702" s="10"/>
      <c r="BC702" s="11"/>
      <c r="BD702" s="11"/>
      <c r="BE702" s="11"/>
      <c r="BF702" s="11"/>
      <c r="BG702" s="11"/>
      <c r="BH702" s="11"/>
      <c r="BI702" s="11"/>
      <c r="BJ702" s="11"/>
      <c r="BK702" s="11"/>
      <c r="BL702" s="11"/>
      <c r="BM702" s="11"/>
      <c r="BN702" s="11"/>
      <c r="BO702" s="11"/>
      <c r="BP702" s="11"/>
      <c r="BQ702" s="11"/>
      <c r="BR702" s="11"/>
      <c r="BS702" s="11"/>
      <c r="BT702" s="11"/>
      <c r="BU702" s="11"/>
      <c r="BV702" s="11"/>
      <c r="BW702" s="11"/>
      <c r="BX702" s="11"/>
      <c r="BY702" s="11"/>
      <c r="BZ702" s="11"/>
      <c r="CA702" s="11"/>
      <c r="CB702" s="11"/>
      <c r="CC702" s="17"/>
      <c r="CD702" s="17"/>
      <c r="CE702" s="11"/>
      <c r="CF702" s="13"/>
      <c r="CG702" s="13"/>
      <c r="CH702" s="13"/>
      <c r="CI702" s="13"/>
      <c r="CJ702" s="13"/>
    </row>
    <row r="703" spans="1:88" s="9" customFormat="1" x14ac:dyDescent="0.25">
      <c r="A703" s="10"/>
      <c r="B703" s="10"/>
      <c r="C703" s="10"/>
      <c r="D703" s="10"/>
      <c r="E703" s="11"/>
      <c r="F703" s="10"/>
      <c r="G703" s="10"/>
      <c r="H703" s="10"/>
      <c r="I703" s="10"/>
      <c r="J703" s="10"/>
      <c r="K703" s="12"/>
      <c r="L703" s="10"/>
      <c r="M703" s="10"/>
      <c r="N703" s="13"/>
      <c r="O703" s="10"/>
      <c r="P703" s="10"/>
      <c r="Q703" s="10"/>
      <c r="R703" s="18"/>
      <c r="S703" s="10"/>
      <c r="T703" s="10"/>
      <c r="U703" s="13"/>
      <c r="V703" s="13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3"/>
      <c r="AL703" s="14"/>
      <c r="AM703" s="15"/>
      <c r="AN703" s="15"/>
      <c r="AO703" s="13"/>
      <c r="AP703" s="13"/>
      <c r="AQ703" s="16"/>
      <c r="AR703" s="10"/>
      <c r="AS703" s="10"/>
      <c r="AT703" s="10"/>
      <c r="AU703" s="10"/>
      <c r="AV703" s="11"/>
      <c r="AW703" s="11"/>
      <c r="AX703" s="10"/>
      <c r="AY703" s="11"/>
      <c r="AZ703" s="11"/>
      <c r="BA703" s="11"/>
      <c r="BB703" s="10"/>
      <c r="BC703" s="11"/>
      <c r="BD703" s="11"/>
      <c r="BE703" s="11"/>
      <c r="BF703" s="11"/>
      <c r="BG703" s="11"/>
      <c r="BH703" s="11"/>
      <c r="BI703" s="11"/>
      <c r="BJ703" s="11"/>
      <c r="BK703" s="11"/>
      <c r="BL703" s="11"/>
      <c r="BM703" s="11"/>
      <c r="BN703" s="11"/>
      <c r="BO703" s="11"/>
      <c r="BP703" s="11"/>
      <c r="BQ703" s="11"/>
      <c r="BR703" s="11"/>
      <c r="BS703" s="11"/>
      <c r="BT703" s="11"/>
      <c r="BU703" s="11"/>
      <c r="BV703" s="11"/>
      <c r="BW703" s="11"/>
      <c r="BX703" s="11"/>
      <c r="BY703" s="11"/>
      <c r="BZ703" s="11"/>
      <c r="CA703" s="11"/>
      <c r="CB703" s="11"/>
      <c r="CC703" s="17"/>
      <c r="CD703" s="17"/>
      <c r="CE703" s="11"/>
      <c r="CF703" s="13"/>
      <c r="CG703" s="13"/>
      <c r="CH703" s="13"/>
      <c r="CI703" s="13"/>
      <c r="CJ703" s="13"/>
    </row>
    <row r="704" spans="1:88" s="9" customFormat="1" x14ac:dyDescent="0.25">
      <c r="A704" s="10"/>
      <c r="B704" s="10"/>
      <c r="C704" s="10"/>
      <c r="D704" s="10"/>
      <c r="E704" s="11"/>
      <c r="F704" s="10"/>
      <c r="G704" s="10"/>
      <c r="H704" s="10"/>
      <c r="I704" s="10"/>
      <c r="J704" s="10"/>
      <c r="K704" s="12"/>
      <c r="L704" s="10"/>
      <c r="M704" s="10"/>
      <c r="N704" s="13"/>
      <c r="O704" s="10"/>
      <c r="P704" s="10"/>
      <c r="Q704" s="10"/>
      <c r="R704" s="18"/>
      <c r="S704" s="10"/>
      <c r="T704" s="10"/>
      <c r="U704" s="13"/>
      <c r="V704" s="13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3"/>
      <c r="AL704" s="14"/>
      <c r="AM704" s="15"/>
      <c r="AN704" s="15"/>
      <c r="AO704" s="13"/>
      <c r="AP704" s="13"/>
      <c r="AQ704" s="16"/>
      <c r="AR704" s="10"/>
      <c r="AS704" s="10"/>
      <c r="AT704" s="10"/>
      <c r="AU704" s="10"/>
      <c r="AV704" s="11"/>
      <c r="AW704" s="11"/>
      <c r="AX704" s="10"/>
      <c r="AY704" s="11"/>
      <c r="AZ704" s="11"/>
      <c r="BA704" s="11"/>
      <c r="BB704" s="10"/>
      <c r="BC704" s="11"/>
      <c r="BD704" s="11"/>
      <c r="BE704" s="11"/>
      <c r="BF704" s="11"/>
      <c r="BG704" s="11"/>
      <c r="BH704" s="11"/>
      <c r="BI704" s="11"/>
      <c r="BJ704" s="11"/>
      <c r="BK704" s="11"/>
      <c r="BL704" s="11"/>
      <c r="BM704" s="11"/>
      <c r="BN704" s="11"/>
      <c r="BO704" s="11"/>
      <c r="BP704" s="11"/>
      <c r="BQ704" s="11"/>
      <c r="BR704" s="11"/>
      <c r="BS704" s="11"/>
      <c r="BT704" s="11"/>
      <c r="BU704" s="11"/>
      <c r="BV704" s="11"/>
      <c r="BW704" s="11"/>
      <c r="BX704" s="11"/>
      <c r="BY704" s="11"/>
      <c r="BZ704" s="11"/>
      <c r="CA704" s="11"/>
      <c r="CB704" s="11"/>
      <c r="CC704" s="17"/>
      <c r="CD704" s="17"/>
      <c r="CE704" s="11"/>
      <c r="CF704" s="13"/>
      <c r="CG704" s="13"/>
      <c r="CH704" s="13"/>
      <c r="CI704" s="13"/>
      <c r="CJ704" s="13"/>
    </row>
    <row r="705" spans="1:88" s="9" customFormat="1" x14ac:dyDescent="0.25">
      <c r="A705" s="10"/>
      <c r="B705" s="10"/>
      <c r="C705" s="10"/>
      <c r="D705" s="10"/>
      <c r="E705" s="11"/>
      <c r="F705" s="10"/>
      <c r="G705" s="10"/>
      <c r="H705" s="10"/>
      <c r="I705" s="10"/>
      <c r="J705" s="10"/>
      <c r="K705" s="12"/>
      <c r="L705" s="10"/>
      <c r="M705" s="10"/>
      <c r="N705" s="13"/>
      <c r="O705" s="10"/>
      <c r="P705" s="10"/>
      <c r="Q705" s="10"/>
      <c r="R705" s="18"/>
      <c r="S705" s="10"/>
      <c r="T705" s="10"/>
      <c r="U705" s="13"/>
      <c r="V705" s="13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3"/>
      <c r="AL705" s="14"/>
      <c r="AM705" s="15"/>
      <c r="AN705" s="15"/>
      <c r="AO705" s="13"/>
      <c r="AP705" s="13"/>
      <c r="AQ705" s="16"/>
      <c r="AR705" s="10"/>
      <c r="AS705" s="10"/>
      <c r="AT705" s="10"/>
      <c r="AU705" s="10"/>
      <c r="AV705" s="11"/>
      <c r="AW705" s="11"/>
      <c r="AX705" s="10"/>
      <c r="AY705" s="11"/>
      <c r="AZ705" s="11"/>
      <c r="BA705" s="11"/>
      <c r="BB705" s="10"/>
      <c r="BC705" s="11"/>
      <c r="BD705" s="11"/>
      <c r="BE705" s="11"/>
      <c r="BF705" s="11"/>
      <c r="BG705" s="11"/>
      <c r="BH705" s="11"/>
      <c r="BI705" s="11"/>
      <c r="BJ705" s="11"/>
      <c r="BK705" s="11"/>
      <c r="BL705" s="11"/>
      <c r="BM705" s="11"/>
      <c r="BN705" s="11"/>
      <c r="BO705" s="11"/>
      <c r="BP705" s="11"/>
      <c r="BQ705" s="11"/>
      <c r="BR705" s="11"/>
      <c r="BS705" s="11"/>
      <c r="BT705" s="11"/>
      <c r="BU705" s="11"/>
      <c r="BV705" s="11"/>
      <c r="BW705" s="11"/>
      <c r="BX705" s="11"/>
      <c r="BY705" s="11"/>
      <c r="BZ705" s="11"/>
      <c r="CA705" s="11"/>
      <c r="CB705" s="11"/>
      <c r="CC705" s="17"/>
      <c r="CD705" s="17"/>
      <c r="CE705" s="11"/>
      <c r="CF705" s="13"/>
      <c r="CG705" s="13"/>
      <c r="CH705" s="13"/>
      <c r="CI705" s="13"/>
      <c r="CJ705" s="13"/>
    </row>
    <row r="706" spans="1:88" s="9" customFormat="1" x14ac:dyDescent="0.25">
      <c r="A706" s="10"/>
      <c r="B706" s="10"/>
      <c r="C706" s="10"/>
      <c r="D706" s="10"/>
      <c r="E706" s="11"/>
      <c r="F706" s="10"/>
      <c r="G706" s="10"/>
      <c r="H706" s="10"/>
      <c r="I706" s="10"/>
      <c r="J706" s="10"/>
      <c r="K706" s="12"/>
      <c r="L706" s="10"/>
      <c r="M706" s="10"/>
      <c r="N706" s="13"/>
      <c r="O706" s="10"/>
      <c r="P706" s="10"/>
      <c r="Q706" s="10"/>
      <c r="R706" s="18"/>
      <c r="S706" s="10"/>
      <c r="T706" s="10"/>
      <c r="U706" s="13"/>
      <c r="V706" s="13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3"/>
      <c r="AL706" s="14"/>
      <c r="AM706" s="15"/>
      <c r="AN706" s="15"/>
      <c r="AO706" s="13"/>
      <c r="AP706" s="13"/>
      <c r="AQ706" s="16"/>
      <c r="AR706" s="10"/>
      <c r="AS706" s="10"/>
      <c r="AT706" s="10"/>
      <c r="AU706" s="10"/>
      <c r="AV706" s="11"/>
      <c r="AW706" s="11"/>
      <c r="AX706" s="10"/>
      <c r="AY706" s="11"/>
      <c r="AZ706" s="11"/>
      <c r="BA706" s="11"/>
      <c r="BB706" s="10"/>
      <c r="BC706" s="11"/>
      <c r="BD706" s="11"/>
      <c r="BE706" s="11"/>
      <c r="BF706" s="11"/>
      <c r="BG706" s="11"/>
      <c r="BH706" s="11"/>
      <c r="BI706" s="11"/>
      <c r="BJ706" s="11"/>
      <c r="BK706" s="11"/>
      <c r="BL706" s="11"/>
      <c r="BM706" s="11"/>
      <c r="BN706" s="11"/>
      <c r="BO706" s="11"/>
      <c r="BP706" s="11"/>
      <c r="BQ706" s="11"/>
      <c r="BR706" s="11"/>
      <c r="BS706" s="11"/>
      <c r="BT706" s="11"/>
      <c r="BU706" s="11"/>
      <c r="BV706" s="11"/>
      <c r="BW706" s="11"/>
      <c r="BX706" s="11"/>
      <c r="BY706" s="11"/>
      <c r="BZ706" s="11"/>
      <c r="CA706" s="11"/>
      <c r="CB706" s="11"/>
      <c r="CC706" s="17"/>
      <c r="CD706" s="17"/>
      <c r="CE706" s="11"/>
      <c r="CF706" s="13"/>
      <c r="CG706" s="13"/>
      <c r="CH706" s="13"/>
      <c r="CI706" s="13"/>
      <c r="CJ706" s="13"/>
    </row>
    <row r="707" spans="1:88" s="9" customFormat="1" x14ac:dyDescent="0.25">
      <c r="A707" s="10"/>
      <c r="B707" s="10"/>
      <c r="C707" s="10"/>
      <c r="D707" s="10"/>
      <c r="E707" s="11"/>
      <c r="F707" s="10"/>
      <c r="G707" s="10"/>
      <c r="H707" s="10"/>
      <c r="I707" s="10"/>
      <c r="J707" s="10"/>
      <c r="K707" s="12"/>
      <c r="L707" s="10"/>
      <c r="M707" s="10"/>
      <c r="N707" s="13"/>
      <c r="O707" s="10"/>
      <c r="P707" s="10"/>
      <c r="Q707" s="10"/>
      <c r="R707" s="18"/>
      <c r="S707" s="10"/>
      <c r="T707" s="10"/>
      <c r="U707" s="13"/>
      <c r="V707" s="13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3"/>
      <c r="AL707" s="14"/>
      <c r="AM707" s="15"/>
      <c r="AN707" s="15"/>
      <c r="AO707" s="13"/>
      <c r="AP707" s="13"/>
      <c r="AQ707" s="16"/>
      <c r="AR707" s="10"/>
      <c r="AS707" s="10"/>
      <c r="AT707" s="10"/>
      <c r="AU707" s="10"/>
      <c r="AV707" s="11"/>
      <c r="AW707" s="11"/>
      <c r="AX707" s="10"/>
      <c r="AY707" s="11"/>
      <c r="AZ707" s="11"/>
      <c r="BA707" s="11"/>
      <c r="BB707" s="10"/>
      <c r="BC707" s="11"/>
      <c r="BD707" s="11"/>
      <c r="BE707" s="11"/>
      <c r="BF707" s="11"/>
      <c r="BG707" s="11"/>
      <c r="BH707" s="11"/>
      <c r="BI707" s="11"/>
      <c r="BJ707" s="11"/>
      <c r="BK707" s="11"/>
      <c r="BL707" s="11"/>
      <c r="BM707" s="11"/>
      <c r="BN707" s="11"/>
      <c r="BO707" s="11"/>
      <c r="BP707" s="11"/>
      <c r="BQ707" s="11"/>
      <c r="BR707" s="11"/>
      <c r="BS707" s="11"/>
      <c r="BT707" s="11"/>
      <c r="BU707" s="11"/>
      <c r="BV707" s="11"/>
      <c r="BW707" s="11"/>
      <c r="BX707" s="11"/>
      <c r="BY707" s="11"/>
      <c r="BZ707" s="11"/>
      <c r="CA707" s="11"/>
      <c r="CB707" s="11"/>
      <c r="CC707" s="17"/>
      <c r="CD707" s="17"/>
      <c r="CE707" s="11"/>
      <c r="CF707" s="13"/>
      <c r="CG707" s="13"/>
      <c r="CH707" s="13"/>
      <c r="CI707" s="13"/>
      <c r="CJ707" s="13"/>
    </row>
    <row r="708" spans="1:88" s="9" customFormat="1" x14ac:dyDescent="0.25">
      <c r="A708" s="10"/>
      <c r="B708" s="10"/>
      <c r="C708" s="10"/>
      <c r="D708" s="10"/>
      <c r="E708" s="11"/>
      <c r="F708" s="10"/>
      <c r="G708" s="10"/>
      <c r="H708" s="10"/>
      <c r="I708" s="10"/>
      <c r="J708" s="10"/>
      <c r="K708" s="12"/>
      <c r="L708" s="10"/>
      <c r="M708" s="10"/>
      <c r="N708" s="13"/>
      <c r="O708" s="10"/>
      <c r="P708" s="10"/>
      <c r="Q708" s="10"/>
      <c r="R708" s="18"/>
      <c r="S708" s="10"/>
      <c r="T708" s="10"/>
      <c r="U708" s="13"/>
      <c r="V708" s="13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3"/>
      <c r="AL708" s="14"/>
      <c r="AM708" s="15"/>
      <c r="AN708" s="15"/>
      <c r="AO708" s="13"/>
      <c r="AP708" s="13"/>
      <c r="AQ708" s="16"/>
      <c r="AR708" s="10"/>
      <c r="AS708" s="10"/>
      <c r="AT708" s="10"/>
      <c r="AU708" s="10"/>
      <c r="AV708" s="11"/>
      <c r="AW708" s="11"/>
      <c r="AX708" s="10"/>
      <c r="AY708" s="11"/>
      <c r="AZ708" s="11"/>
      <c r="BA708" s="11"/>
      <c r="BB708" s="10"/>
      <c r="BC708" s="11"/>
      <c r="BD708" s="11"/>
      <c r="BE708" s="11"/>
      <c r="BF708" s="11"/>
      <c r="BG708" s="11"/>
      <c r="BH708" s="11"/>
      <c r="BI708" s="11"/>
      <c r="BJ708" s="11"/>
      <c r="BK708" s="11"/>
      <c r="BL708" s="11"/>
      <c r="BM708" s="11"/>
      <c r="BN708" s="11"/>
      <c r="BO708" s="11"/>
      <c r="BP708" s="11"/>
      <c r="BQ708" s="11"/>
      <c r="BR708" s="11"/>
      <c r="BS708" s="11"/>
      <c r="BT708" s="11"/>
      <c r="BU708" s="11"/>
      <c r="BV708" s="11"/>
      <c r="BW708" s="11"/>
      <c r="BX708" s="11"/>
      <c r="BY708" s="11"/>
      <c r="BZ708" s="11"/>
      <c r="CA708" s="11"/>
      <c r="CB708" s="11"/>
      <c r="CC708" s="17"/>
      <c r="CD708" s="17"/>
      <c r="CE708" s="11"/>
      <c r="CF708" s="13"/>
      <c r="CG708" s="13"/>
      <c r="CH708" s="13"/>
      <c r="CI708" s="13"/>
      <c r="CJ708" s="13"/>
    </row>
    <row r="709" spans="1:88" s="9" customFormat="1" x14ac:dyDescent="0.25">
      <c r="A709" s="10"/>
      <c r="B709" s="10"/>
      <c r="C709" s="10"/>
      <c r="D709" s="10"/>
      <c r="E709" s="11"/>
      <c r="F709" s="10"/>
      <c r="G709" s="10"/>
      <c r="H709" s="10"/>
      <c r="I709" s="10"/>
      <c r="J709" s="10"/>
      <c r="K709" s="12"/>
      <c r="L709" s="10"/>
      <c r="M709" s="10"/>
      <c r="N709" s="13"/>
      <c r="O709" s="10"/>
      <c r="P709" s="10"/>
      <c r="Q709" s="10"/>
      <c r="R709" s="18"/>
      <c r="S709" s="10"/>
      <c r="T709" s="10"/>
      <c r="U709" s="13"/>
      <c r="V709" s="13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3"/>
      <c r="AL709" s="14"/>
      <c r="AM709" s="15"/>
      <c r="AN709" s="15"/>
      <c r="AO709" s="13"/>
      <c r="AP709" s="13"/>
      <c r="AQ709" s="16"/>
      <c r="AR709" s="10"/>
      <c r="AS709" s="10"/>
      <c r="AT709" s="10"/>
      <c r="AU709" s="10"/>
      <c r="AV709" s="11"/>
      <c r="AW709" s="11"/>
      <c r="AX709" s="10"/>
      <c r="AY709" s="11"/>
      <c r="AZ709" s="11"/>
      <c r="BA709" s="11"/>
      <c r="BB709" s="10"/>
      <c r="BC709" s="11"/>
      <c r="BD709" s="11"/>
      <c r="BE709" s="11"/>
      <c r="BF709" s="11"/>
      <c r="BG709" s="11"/>
      <c r="BH709" s="11"/>
      <c r="BI709" s="11"/>
      <c r="BJ709" s="11"/>
      <c r="BK709" s="11"/>
      <c r="BL709" s="11"/>
      <c r="BM709" s="11"/>
      <c r="BN709" s="11"/>
      <c r="BO709" s="11"/>
      <c r="BP709" s="11"/>
      <c r="BQ709" s="11"/>
      <c r="BR709" s="11"/>
      <c r="BS709" s="11"/>
      <c r="BT709" s="11"/>
      <c r="BU709" s="11"/>
      <c r="BV709" s="11"/>
      <c r="BW709" s="11"/>
      <c r="BX709" s="11"/>
      <c r="BY709" s="11"/>
      <c r="BZ709" s="11"/>
      <c r="CA709" s="11"/>
      <c r="CB709" s="11"/>
      <c r="CC709" s="17"/>
      <c r="CD709" s="17"/>
      <c r="CE709" s="11"/>
      <c r="CF709" s="13"/>
      <c r="CG709" s="13"/>
      <c r="CH709" s="13"/>
      <c r="CI709" s="13"/>
      <c r="CJ709" s="13"/>
    </row>
    <row r="710" spans="1:88" s="9" customFormat="1" x14ac:dyDescent="0.25">
      <c r="A710" s="10"/>
      <c r="B710" s="10"/>
      <c r="C710" s="10"/>
      <c r="D710" s="10"/>
      <c r="E710" s="11"/>
      <c r="F710" s="10"/>
      <c r="G710" s="10"/>
      <c r="H710" s="10"/>
      <c r="I710" s="10"/>
      <c r="J710" s="10"/>
      <c r="K710" s="12"/>
      <c r="L710" s="10"/>
      <c r="M710" s="10"/>
      <c r="N710" s="13"/>
      <c r="O710" s="10"/>
      <c r="P710" s="10"/>
      <c r="Q710" s="10"/>
      <c r="R710" s="18"/>
      <c r="S710" s="10"/>
      <c r="T710" s="10"/>
      <c r="U710" s="13"/>
      <c r="V710" s="13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3"/>
      <c r="AL710" s="14"/>
      <c r="AM710" s="15"/>
      <c r="AN710" s="15"/>
      <c r="AO710" s="13"/>
      <c r="AP710" s="13"/>
      <c r="AQ710" s="16"/>
      <c r="AR710" s="10"/>
      <c r="AS710" s="10"/>
      <c r="AT710" s="10"/>
      <c r="AU710" s="10"/>
      <c r="AV710" s="11"/>
      <c r="AW710" s="11"/>
      <c r="AX710" s="10"/>
      <c r="AY710" s="11"/>
      <c r="AZ710" s="11"/>
      <c r="BA710" s="11"/>
      <c r="BB710" s="10"/>
      <c r="BC710" s="11"/>
      <c r="BD710" s="11"/>
      <c r="BE710" s="11"/>
      <c r="BF710" s="11"/>
      <c r="BG710" s="11"/>
      <c r="BH710" s="11"/>
      <c r="BI710" s="11"/>
      <c r="BJ710" s="11"/>
      <c r="BK710" s="11"/>
      <c r="BL710" s="11"/>
      <c r="BM710" s="11"/>
      <c r="BN710" s="11"/>
      <c r="BO710" s="11"/>
      <c r="BP710" s="11"/>
      <c r="BQ710" s="11"/>
      <c r="BR710" s="11"/>
      <c r="BS710" s="11"/>
      <c r="BT710" s="11"/>
      <c r="BU710" s="11"/>
      <c r="BV710" s="11"/>
      <c r="BW710" s="11"/>
      <c r="BX710" s="11"/>
      <c r="BY710" s="11"/>
      <c r="BZ710" s="11"/>
      <c r="CA710" s="11"/>
      <c r="CB710" s="11"/>
      <c r="CC710" s="17"/>
      <c r="CD710" s="17"/>
      <c r="CE710" s="11"/>
      <c r="CF710" s="13"/>
      <c r="CG710" s="13"/>
      <c r="CH710" s="13"/>
      <c r="CI710" s="13"/>
      <c r="CJ710" s="13"/>
    </row>
    <row r="711" spans="1:88" s="9" customFormat="1" x14ac:dyDescent="0.25">
      <c r="A711" s="10"/>
      <c r="B711" s="10"/>
      <c r="C711" s="10"/>
      <c r="D711" s="10"/>
      <c r="E711" s="11"/>
      <c r="F711" s="10"/>
      <c r="G711" s="10"/>
      <c r="H711" s="10"/>
      <c r="I711" s="10"/>
      <c r="J711" s="10"/>
      <c r="K711" s="12"/>
      <c r="L711" s="10"/>
      <c r="M711" s="10"/>
      <c r="N711" s="13"/>
      <c r="O711" s="10"/>
      <c r="P711" s="10"/>
      <c r="Q711" s="10"/>
      <c r="R711" s="18"/>
      <c r="S711" s="10"/>
      <c r="T711" s="10"/>
      <c r="U711" s="13"/>
      <c r="V711" s="13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3"/>
      <c r="AL711" s="14"/>
      <c r="AM711" s="15"/>
      <c r="AN711" s="15"/>
      <c r="AO711" s="13"/>
      <c r="AP711" s="13"/>
      <c r="AQ711" s="16"/>
      <c r="AR711" s="10"/>
      <c r="AS711" s="10"/>
      <c r="AT711" s="10"/>
      <c r="AU711" s="10"/>
      <c r="AV711" s="11"/>
      <c r="AW711" s="11"/>
      <c r="AX711" s="10"/>
      <c r="AY711" s="11"/>
      <c r="AZ711" s="11"/>
      <c r="BA711" s="11"/>
      <c r="BB711" s="10"/>
      <c r="BC711" s="11"/>
      <c r="BD711" s="11"/>
      <c r="BE711" s="11"/>
      <c r="BF711" s="11"/>
      <c r="BG711" s="11"/>
      <c r="BH711" s="11"/>
      <c r="BI711" s="11"/>
      <c r="BJ711" s="11"/>
      <c r="BK711" s="11"/>
      <c r="BL711" s="11"/>
      <c r="BM711" s="11"/>
      <c r="BN711" s="11"/>
      <c r="BO711" s="11"/>
      <c r="BP711" s="11"/>
      <c r="BQ711" s="11"/>
      <c r="BR711" s="11"/>
      <c r="BS711" s="11"/>
      <c r="BT711" s="11"/>
      <c r="BU711" s="11"/>
      <c r="BV711" s="11"/>
      <c r="BW711" s="11"/>
      <c r="BX711" s="11"/>
      <c r="BY711" s="11"/>
      <c r="BZ711" s="11"/>
      <c r="CA711" s="11"/>
      <c r="CB711" s="11"/>
      <c r="CC711" s="17"/>
      <c r="CD711" s="17"/>
      <c r="CE711" s="11"/>
      <c r="CF711" s="13"/>
      <c r="CG711" s="13"/>
      <c r="CH711" s="13"/>
      <c r="CI711" s="13"/>
      <c r="CJ711" s="13"/>
    </row>
    <row r="712" spans="1:88" s="9" customFormat="1" x14ac:dyDescent="0.25">
      <c r="A712" s="10"/>
      <c r="B712" s="10"/>
      <c r="C712" s="10"/>
      <c r="D712" s="10"/>
      <c r="E712" s="11"/>
      <c r="F712" s="10"/>
      <c r="G712" s="10"/>
      <c r="H712" s="10"/>
      <c r="I712" s="10"/>
      <c r="J712" s="10"/>
      <c r="K712" s="12"/>
      <c r="L712" s="10"/>
      <c r="M712" s="10"/>
      <c r="N712" s="13"/>
      <c r="O712" s="10"/>
      <c r="P712" s="10"/>
      <c r="Q712" s="10"/>
      <c r="R712" s="18"/>
      <c r="S712" s="10"/>
      <c r="T712" s="10"/>
      <c r="U712" s="13"/>
      <c r="V712" s="13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3"/>
      <c r="AL712" s="14"/>
      <c r="AM712" s="15"/>
      <c r="AN712" s="15"/>
      <c r="AO712" s="13"/>
      <c r="AP712" s="13"/>
      <c r="AQ712" s="16"/>
      <c r="AR712" s="10"/>
      <c r="AS712" s="10"/>
      <c r="AT712" s="10"/>
      <c r="AU712" s="10"/>
      <c r="AV712" s="11"/>
      <c r="AW712" s="11"/>
      <c r="AX712" s="10"/>
      <c r="AY712" s="11"/>
      <c r="AZ712" s="11"/>
      <c r="BA712" s="11"/>
      <c r="BB712" s="10"/>
      <c r="BC712" s="11"/>
      <c r="BD712" s="11"/>
      <c r="BE712" s="11"/>
      <c r="BF712" s="11"/>
      <c r="BG712" s="11"/>
      <c r="BH712" s="11"/>
      <c r="BI712" s="11"/>
      <c r="BJ712" s="11"/>
      <c r="BK712" s="11"/>
      <c r="BL712" s="11"/>
      <c r="BM712" s="11"/>
      <c r="BN712" s="11"/>
      <c r="BO712" s="11"/>
      <c r="BP712" s="11"/>
      <c r="BQ712" s="11"/>
      <c r="BR712" s="11"/>
      <c r="BS712" s="11"/>
      <c r="BT712" s="11"/>
      <c r="BU712" s="11"/>
      <c r="BV712" s="11"/>
      <c r="BW712" s="11"/>
      <c r="BX712" s="11"/>
      <c r="BY712" s="11"/>
      <c r="BZ712" s="11"/>
      <c r="CA712" s="11"/>
      <c r="CB712" s="11"/>
      <c r="CC712" s="17"/>
      <c r="CD712" s="17"/>
      <c r="CE712" s="11"/>
      <c r="CF712" s="13"/>
      <c r="CG712" s="13"/>
      <c r="CH712" s="13"/>
      <c r="CI712" s="13"/>
      <c r="CJ712" s="13"/>
    </row>
    <row r="713" spans="1:88" s="9" customFormat="1" x14ac:dyDescent="0.25">
      <c r="A713" s="10"/>
      <c r="B713" s="10"/>
      <c r="C713" s="10"/>
      <c r="D713" s="10"/>
      <c r="E713" s="11"/>
      <c r="F713" s="10"/>
      <c r="G713" s="10"/>
      <c r="H713" s="10"/>
      <c r="I713" s="10"/>
      <c r="J713" s="10"/>
      <c r="K713" s="12"/>
      <c r="L713" s="10"/>
      <c r="M713" s="10"/>
      <c r="N713" s="13"/>
      <c r="O713" s="10"/>
      <c r="P713" s="10"/>
      <c r="Q713" s="10"/>
      <c r="R713" s="18"/>
      <c r="S713" s="10"/>
      <c r="T713" s="10"/>
      <c r="U713" s="13"/>
      <c r="V713" s="13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3"/>
      <c r="AL713" s="14"/>
      <c r="AM713" s="15"/>
      <c r="AN713" s="15"/>
      <c r="AO713" s="13"/>
      <c r="AP713" s="13"/>
      <c r="AQ713" s="16"/>
      <c r="AR713" s="10"/>
      <c r="AS713" s="10"/>
      <c r="AT713" s="10"/>
      <c r="AU713" s="10"/>
      <c r="AV713" s="11"/>
      <c r="AW713" s="11"/>
      <c r="AX713" s="10"/>
      <c r="AY713" s="11"/>
      <c r="AZ713" s="11"/>
      <c r="BA713" s="11"/>
      <c r="BB713" s="10"/>
      <c r="BC713" s="11"/>
      <c r="BD713" s="11"/>
      <c r="BE713" s="11"/>
      <c r="BF713" s="11"/>
      <c r="BG713" s="11"/>
      <c r="BH713" s="11"/>
      <c r="BI713" s="11"/>
      <c r="BJ713" s="11"/>
      <c r="BK713" s="11"/>
      <c r="BL713" s="11"/>
      <c r="BM713" s="11"/>
      <c r="BN713" s="11"/>
      <c r="BO713" s="11"/>
      <c r="BP713" s="11"/>
      <c r="BQ713" s="11"/>
      <c r="BR713" s="11"/>
      <c r="BS713" s="11"/>
      <c r="BT713" s="11"/>
      <c r="BU713" s="11"/>
      <c r="BV713" s="11"/>
      <c r="BW713" s="11"/>
      <c r="BX713" s="11"/>
      <c r="BY713" s="11"/>
      <c r="BZ713" s="11"/>
      <c r="CA713" s="11"/>
      <c r="CB713" s="11"/>
      <c r="CC713" s="17"/>
      <c r="CD713" s="17"/>
      <c r="CE713" s="11"/>
      <c r="CF713" s="13"/>
      <c r="CG713" s="13"/>
      <c r="CH713" s="13"/>
      <c r="CI713" s="13"/>
      <c r="CJ713" s="13"/>
    </row>
    <row r="714" spans="1:88" s="9" customFormat="1" x14ac:dyDescent="0.25">
      <c r="A714" s="10"/>
      <c r="B714" s="10"/>
      <c r="C714" s="10"/>
      <c r="D714" s="10"/>
      <c r="E714" s="11"/>
      <c r="F714" s="10"/>
      <c r="G714" s="10"/>
      <c r="H714" s="10"/>
      <c r="I714" s="10"/>
      <c r="J714" s="10"/>
      <c r="K714" s="12"/>
      <c r="L714" s="10"/>
      <c r="M714" s="10"/>
      <c r="N714" s="13"/>
      <c r="O714" s="10"/>
      <c r="P714" s="10"/>
      <c r="Q714" s="10"/>
      <c r="R714" s="18"/>
      <c r="S714" s="10"/>
      <c r="T714" s="10"/>
      <c r="U714" s="13"/>
      <c r="V714" s="13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3"/>
      <c r="AL714" s="14"/>
      <c r="AM714" s="15"/>
      <c r="AN714" s="15"/>
      <c r="AO714" s="13"/>
      <c r="AP714" s="13"/>
      <c r="AQ714" s="16"/>
      <c r="AR714" s="10"/>
      <c r="AS714" s="10"/>
      <c r="AT714" s="10"/>
      <c r="AU714" s="10"/>
      <c r="AV714" s="11"/>
      <c r="AW714" s="11"/>
      <c r="AX714" s="10"/>
      <c r="AY714" s="11"/>
      <c r="AZ714" s="11"/>
      <c r="BA714" s="11"/>
      <c r="BB714" s="10"/>
      <c r="BC714" s="11"/>
      <c r="BD714" s="11"/>
      <c r="BE714" s="11"/>
      <c r="BF714" s="11"/>
      <c r="BG714" s="11"/>
      <c r="BH714" s="11"/>
      <c r="BI714" s="11"/>
      <c r="BJ714" s="11"/>
      <c r="BK714" s="11"/>
      <c r="BL714" s="11"/>
      <c r="BM714" s="11"/>
      <c r="BN714" s="11"/>
      <c r="BO714" s="11"/>
      <c r="BP714" s="11"/>
      <c r="BQ714" s="11"/>
      <c r="BR714" s="11"/>
      <c r="BS714" s="11"/>
      <c r="BT714" s="11"/>
      <c r="BU714" s="11"/>
      <c r="BV714" s="11"/>
      <c r="BW714" s="11"/>
      <c r="BX714" s="11"/>
      <c r="BY714" s="11"/>
      <c r="BZ714" s="11"/>
      <c r="CA714" s="11"/>
      <c r="CB714" s="11"/>
      <c r="CC714" s="17"/>
      <c r="CD714" s="17"/>
      <c r="CE714" s="11"/>
      <c r="CF714" s="13"/>
      <c r="CG714" s="13"/>
      <c r="CH714" s="13"/>
      <c r="CI714" s="13"/>
      <c r="CJ714" s="13"/>
    </row>
    <row r="715" spans="1:88" s="9" customFormat="1" x14ac:dyDescent="0.25">
      <c r="A715" s="10"/>
      <c r="B715" s="10"/>
      <c r="C715" s="10"/>
      <c r="D715" s="10"/>
      <c r="E715" s="11"/>
      <c r="F715" s="10"/>
      <c r="G715" s="10"/>
      <c r="H715" s="10"/>
      <c r="I715" s="10"/>
      <c r="J715" s="10"/>
      <c r="K715" s="12"/>
      <c r="L715" s="10"/>
      <c r="M715" s="10"/>
      <c r="N715" s="13"/>
      <c r="O715" s="10"/>
      <c r="P715" s="10"/>
      <c r="Q715" s="10"/>
      <c r="R715" s="18"/>
      <c r="S715" s="10"/>
      <c r="T715" s="10"/>
      <c r="U715" s="13"/>
      <c r="V715" s="13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3"/>
      <c r="AL715" s="14"/>
      <c r="AM715" s="15"/>
      <c r="AN715" s="15"/>
      <c r="AO715" s="13"/>
      <c r="AP715" s="13"/>
      <c r="AQ715" s="16"/>
      <c r="AR715" s="10"/>
      <c r="AS715" s="10"/>
      <c r="AT715" s="10"/>
      <c r="AU715" s="10"/>
      <c r="AV715" s="11"/>
      <c r="AW715" s="11"/>
      <c r="AX715" s="10"/>
      <c r="AY715" s="11"/>
      <c r="AZ715" s="11"/>
      <c r="BA715" s="11"/>
      <c r="BB715" s="10"/>
      <c r="BC715" s="11"/>
      <c r="BD715" s="11"/>
      <c r="BE715" s="11"/>
      <c r="BF715" s="11"/>
      <c r="BG715" s="11"/>
      <c r="BH715" s="11"/>
      <c r="BI715" s="11"/>
      <c r="BJ715" s="11"/>
      <c r="BK715" s="11"/>
      <c r="BL715" s="11"/>
      <c r="BM715" s="11"/>
      <c r="BN715" s="11"/>
      <c r="BO715" s="11"/>
      <c r="BP715" s="11"/>
      <c r="BQ715" s="11"/>
      <c r="BR715" s="11"/>
      <c r="BS715" s="11"/>
      <c r="BT715" s="11"/>
      <c r="BU715" s="11"/>
      <c r="BV715" s="11"/>
      <c r="BW715" s="11"/>
      <c r="BX715" s="11"/>
      <c r="BY715" s="11"/>
      <c r="BZ715" s="11"/>
      <c r="CA715" s="11"/>
      <c r="CB715" s="11"/>
      <c r="CC715" s="17"/>
      <c r="CD715" s="17"/>
      <c r="CE715" s="11"/>
      <c r="CF715" s="13"/>
      <c r="CG715" s="13"/>
      <c r="CH715" s="13"/>
      <c r="CI715" s="13"/>
      <c r="CJ715" s="13"/>
    </row>
    <row r="716" spans="1:88" s="9" customFormat="1" x14ac:dyDescent="0.25">
      <c r="A716" s="10"/>
      <c r="B716" s="10"/>
      <c r="C716" s="10"/>
      <c r="D716" s="10"/>
      <c r="E716" s="11"/>
      <c r="F716" s="10"/>
      <c r="G716" s="10"/>
      <c r="H716" s="10"/>
      <c r="I716" s="10"/>
      <c r="J716" s="10"/>
      <c r="K716" s="12"/>
      <c r="L716" s="10"/>
      <c r="M716" s="10"/>
      <c r="N716" s="13"/>
      <c r="O716" s="10"/>
      <c r="P716" s="10"/>
      <c r="Q716" s="10"/>
      <c r="R716" s="18"/>
      <c r="S716" s="10"/>
      <c r="T716" s="10"/>
      <c r="U716" s="13"/>
      <c r="V716" s="13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3"/>
      <c r="AL716" s="14"/>
      <c r="AM716" s="15"/>
      <c r="AN716" s="15"/>
      <c r="AO716" s="13"/>
      <c r="AP716" s="13"/>
      <c r="AQ716" s="16"/>
      <c r="AR716" s="10"/>
      <c r="AS716" s="10"/>
      <c r="AT716" s="10"/>
      <c r="AU716" s="10"/>
      <c r="AV716" s="11"/>
      <c r="AW716" s="11"/>
      <c r="AX716" s="10"/>
      <c r="AY716" s="11"/>
      <c r="AZ716" s="11"/>
      <c r="BA716" s="11"/>
      <c r="BB716" s="10"/>
      <c r="BC716" s="11"/>
      <c r="BD716" s="11"/>
      <c r="BE716" s="11"/>
      <c r="BF716" s="11"/>
      <c r="BG716" s="11"/>
      <c r="BH716" s="11"/>
      <c r="BI716" s="11"/>
      <c r="BJ716" s="11"/>
      <c r="BK716" s="11"/>
      <c r="BL716" s="11"/>
      <c r="BM716" s="11"/>
      <c r="BN716" s="11"/>
      <c r="BO716" s="11"/>
      <c r="BP716" s="11"/>
      <c r="BQ716" s="11"/>
      <c r="BR716" s="11"/>
      <c r="BS716" s="11"/>
      <c r="BT716" s="11"/>
      <c r="BU716" s="11"/>
      <c r="BV716" s="11"/>
      <c r="BW716" s="11"/>
      <c r="BX716" s="11"/>
      <c r="BY716" s="11"/>
      <c r="BZ716" s="11"/>
      <c r="CA716" s="11"/>
      <c r="CB716" s="11"/>
      <c r="CC716" s="17"/>
      <c r="CD716" s="17"/>
      <c r="CE716" s="11"/>
      <c r="CF716" s="13"/>
      <c r="CG716" s="13"/>
      <c r="CH716" s="13"/>
      <c r="CI716" s="13"/>
      <c r="CJ716" s="13"/>
    </row>
    <row r="717" spans="1:88" s="9" customFormat="1" x14ac:dyDescent="0.25">
      <c r="A717" s="10"/>
      <c r="B717" s="10"/>
      <c r="C717" s="10"/>
      <c r="D717" s="10"/>
      <c r="E717" s="11"/>
      <c r="F717" s="10"/>
      <c r="G717" s="10"/>
      <c r="H717" s="10"/>
      <c r="I717" s="10"/>
      <c r="J717" s="10"/>
      <c r="K717" s="12"/>
      <c r="L717" s="10"/>
      <c r="M717" s="10"/>
      <c r="N717" s="13"/>
      <c r="O717" s="10"/>
      <c r="P717" s="10"/>
      <c r="Q717" s="10"/>
      <c r="R717" s="18"/>
      <c r="S717" s="10"/>
      <c r="T717" s="10"/>
      <c r="U717" s="13"/>
      <c r="V717" s="13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3"/>
      <c r="AL717" s="14"/>
      <c r="AM717" s="15"/>
      <c r="AN717" s="15"/>
      <c r="AO717" s="13"/>
      <c r="AP717" s="13"/>
      <c r="AQ717" s="16"/>
      <c r="AR717" s="10"/>
      <c r="AS717" s="10"/>
      <c r="AT717" s="10"/>
      <c r="AU717" s="10"/>
      <c r="AV717" s="11"/>
      <c r="AW717" s="11"/>
      <c r="AX717" s="10"/>
      <c r="AY717" s="11"/>
      <c r="AZ717" s="11"/>
      <c r="BA717" s="11"/>
      <c r="BB717" s="10"/>
      <c r="BC717" s="11"/>
      <c r="BD717" s="11"/>
      <c r="BE717" s="11"/>
      <c r="BF717" s="11"/>
      <c r="BG717" s="11"/>
      <c r="BH717" s="11"/>
      <c r="BI717" s="11"/>
      <c r="BJ717" s="11"/>
      <c r="BK717" s="11"/>
      <c r="BL717" s="11"/>
      <c r="BM717" s="11"/>
      <c r="BN717" s="11"/>
      <c r="BO717" s="11"/>
      <c r="BP717" s="11"/>
      <c r="BQ717" s="11"/>
      <c r="BR717" s="11"/>
      <c r="BS717" s="11"/>
      <c r="BT717" s="11"/>
      <c r="BU717" s="11"/>
      <c r="BV717" s="11"/>
      <c r="BW717" s="11"/>
      <c r="BX717" s="11"/>
      <c r="BY717" s="11"/>
      <c r="BZ717" s="11"/>
      <c r="CA717" s="11"/>
      <c r="CB717" s="11"/>
      <c r="CC717" s="17"/>
      <c r="CD717" s="17"/>
      <c r="CE717" s="11"/>
      <c r="CF717" s="13"/>
      <c r="CG717" s="13"/>
      <c r="CH717" s="13"/>
      <c r="CI717" s="13"/>
      <c r="CJ717" s="13"/>
    </row>
    <row r="718" spans="1:88" s="9" customFormat="1" x14ac:dyDescent="0.25">
      <c r="A718" s="10"/>
      <c r="B718" s="10"/>
      <c r="C718" s="10"/>
      <c r="D718" s="10"/>
      <c r="E718" s="11"/>
      <c r="F718" s="10"/>
      <c r="G718" s="10"/>
      <c r="H718" s="10"/>
      <c r="I718" s="10"/>
      <c r="J718" s="10"/>
      <c r="K718" s="12"/>
      <c r="L718" s="10"/>
      <c r="M718" s="10"/>
      <c r="N718" s="13"/>
      <c r="O718" s="10"/>
      <c r="P718" s="10"/>
      <c r="Q718" s="10"/>
      <c r="R718" s="18"/>
      <c r="S718" s="10"/>
      <c r="T718" s="10"/>
      <c r="U718" s="13"/>
      <c r="V718" s="13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3"/>
      <c r="AL718" s="14"/>
      <c r="AM718" s="15"/>
      <c r="AN718" s="15"/>
      <c r="AO718" s="13"/>
      <c r="AP718" s="13"/>
      <c r="AQ718" s="16"/>
      <c r="AR718" s="10"/>
      <c r="AS718" s="10"/>
      <c r="AT718" s="10"/>
      <c r="AU718" s="10"/>
      <c r="AV718" s="11"/>
      <c r="AW718" s="11"/>
      <c r="AX718" s="10"/>
      <c r="AY718" s="11"/>
      <c r="AZ718" s="11"/>
      <c r="BA718" s="11"/>
      <c r="BB718" s="10"/>
      <c r="BC718" s="11"/>
      <c r="BD718" s="11"/>
      <c r="BE718" s="11"/>
      <c r="BF718" s="11"/>
      <c r="BG718" s="11"/>
      <c r="BH718" s="11"/>
      <c r="BI718" s="11"/>
      <c r="BJ718" s="11"/>
      <c r="BK718" s="11"/>
      <c r="BL718" s="11"/>
      <c r="BM718" s="11"/>
      <c r="BN718" s="11"/>
      <c r="BO718" s="11"/>
      <c r="BP718" s="11"/>
      <c r="BQ718" s="11"/>
      <c r="BR718" s="11"/>
      <c r="BS718" s="11"/>
      <c r="BT718" s="11"/>
      <c r="BU718" s="11"/>
      <c r="BV718" s="11"/>
      <c r="BW718" s="11"/>
      <c r="BX718" s="11"/>
      <c r="BY718" s="11"/>
      <c r="BZ718" s="11"/>
      <c r="CA718" s="11"/>
      <c r="CB718" s="11"/>
      <c r="CC718" s="17"/>
      <c r="CD718" s="17"/>
      <c r="CE718" s="11"/>
      <c r="CF718" s="13"/>
      <c r="CG718" s="13"/>
      <c r="CH718" s="13"/>
      <c r="CI718" s="13"/>
      <c r="CJ718" s="13"/>
    </row>
    <row r="719" spans="1:88" s="9" customFormat="1" x14ac:dyDescent="0.25">
      <c r="A719" s="10"/>
      <c r="B719" s="10"/>
      <c r="C719" s="10"/>
      <c r="D719" s="10"/>
      <c r="E719" s="11"/>
      <c r="F719" s="10"/>
      <c r="G719" s="10"/>
      <c r="H719" s="10"/>
      <c r="I719" s="10"/>
      <c r="J719" s="10"/>
      <c r="K719" s="12"/>
      <c r="L719" s="10"/>
      <c r="M719" s="10"/>
      <c r="N719" s="13"/>
      <c r="O719" s="10"/>
      <c r="P719" s="10"/>
      <c r="Q719" s="10"/>
      <c r="R719" s="18"/>
      <c r="S719" s="10"/>
      <c r="T719" s="10"/>
      <c r="U719" s="13"/>
      <c r="V719" s="13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3"/>
      <c r="AL719" s="14"/>
      <c r="AM719" s="15"/>
      <c r="AN719" s="15"/>
      <c r="AO719" s="13"/>
      <c r="AP719" s="13"/>
      <c r="AQ719" s="16"/>
      <c r="AR719" s="10"/>
      <c r="AS719" s="10"/>
      <c r="AT719" s="10"/>
      <c r="AU719" s="10"/>
      <c r="AV719" s="11"/>
      <c r="AW719" s="11"/>
      <c r="AX719" s="10"/>
      <c r="AY719" s="11"/>
      <c r="AZ719" s="11"/>
      <c r="BA719" s="11"/>
      <c r="BB719" s="10"/>
      <c r="BC719" s="11"/>
      <c r="BD719" s="11"/>
      <c r="BE719" s="11"/>
      <c r="BF719" s="11"/>
      <c r="BG719" s="11"/>
      <c r="BH719" s="11"/>
      <c r="BI719" s="11"/>
      <c r="BJ719" s="11"/>
      <c r="BK719" s="11"/>
      <c r="BL719" s="11"/>
      <c r="BM719" s="11"/>
      <c r="BN719" s="11"/>
      <c r="BO719" s="11"/>
      <c r="BP719" s="11"/>
      <c r="BQ719" s="11"/>
      <c r="BR719" s="11"/>
      <c r="BS719" s="11"/>
      <c r="BT719" s="11"/>
      <c r="BU719" s="11"/>
      <c r="BV719" s="11"/>
      <c r="BW719" s="11"/>
      <c r="BX719" s="11"/>
      <c r="BY719" s="11"/>
      <c r="BZ719" s="11"/>
      <c r="CA719" s="11"/>
      <c r="CB719" s="11"/>
      <c r="CC719" s="17"/>
      <c r="CD719" s="17"/>
      <c r="CE719" s="11"/>
      <c r="CF719" s="13"/>
      <c r="CG719" s="13"/>
      <c r="CH719" s="13"/>
      <c r="CI719" s="13"/>
      <c r="CJ719" s="13"/>
    </row>
    <row r="720" spans="1:88" s="9" customFormat="1" x14ac:dyDescent="0.25">
      <c r="A720" s="10"/>
      <c r="B720" s="10"/>
      <c r="C720" s="10"/>
      <c r="D720" s="10"/>
      <c r="E720" s="11"/>
      <c r="F720" s="10"/>
      <c r="G720" s="10"/>
      <c r="H720" s="10"/>
      <c r="I720" s="10"/>
      <c r="J720" s="10"/>
      <c r="K720" s="12"/>
      <c r="L720" s="10"/>
      <c r="M720" s="10"/>
      <c r="N720" s="13"/>
      <c r="O720" s="10"/>
      <c r="P720" s="10"/>
      <c r="Q720" s="10"/>
      <c r="R720" s="18"/>
      <c r="S720" s="10"/>
      <c r="T720" s="10"/>
      <c r="U720" s="13"/>
      <c r="V720" s="13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3"/>
      <c r="AL720" s="14"/>
      <c r="AM720" s="15"/>
      <c r="AN720" s="15"/>
      <c r="AO720" s="13"/>
      <c r="AP720" s="13"/>
      <c r="AQ720" s="16"/>
      <c r="AR720" s="10"/>
      <c r="AS720" s="10"/>
      <c r="AT720" s="10"/>
      <c r="AU720" s="10"/>
      <c r="AV720" s="11"/>
      <c r="AW720" s="11"/>
      <c r="AX720" s="10"/>
      <c r="AY720" s="11"/>
      <c r="AZ720" s="11"/>
      <c r="BA720" s="11"/>
      <c r="BB720" s="10"/>
      <c r="BC720" s="11"/>
      <c r="BD720" s="11"/>
      <c r="BE720" s="11"/>
      <c r="BF720" s="11"/>
      <c r="BG720" s="11"/>
      <c r="BH720" s="11"/>
      <c r="BI720" s="11"/>
      <c r="BJ720" s="11"/>
      <c r="BK720" s="11"/>
      <c r="BL720" s="11"/>
      <c r="BM720" s="11"/>
      <c r="BN720" s="11"/>
      <c r="BO720" s="11"/>
      <c r="BP720" s="11"/>
      <c r="BQ720" s="11"/>
      <c r="BR720" s="11"/>
      <c r="BS720" s="11"/>
      <c r="BT720" s="11"/>
      <c r="BU720" s="11"/>
      <c r="BV720" s="11"/>
      <c r="BW720" s="11"/>
      <c r="BX720" s="11"/>
      <c r="BY720" s="11"/>
      <c r="BZ720" s="11"/>
      <c r="CA720" s="11"/>
      <c r="CB720" s="11"/>
      <c r="CC720" s="17"/>
      <c r="CD720" s="17"/>
      <c r="CE720" s="11"/>
      <c r="CF720" s="13"/>
      <c r="CG720" s="13"/>
      <c r="CH720" s="13"/>
      <c r="CI720" s="13"/>
      <c r="CJ720" s="13"/>
    </row>
    <row r="721" spans="1:88" s="9" customFormat="1" x14ac:dyDescent="0.25">
      <c r="A721" s="10"/>
      <c r="B721" s="10"/>
      <c r="C721" s="10"/>
      <c r="D721" s="10"/>
      <c r="E721" s="11"/>
      <c r="F721" s="10"/>
      <c r="G721" s="10"/>
      <c r="H721" s="10"/>
      <c r="I721" s="10"/>
      <c r="J721" s="10"/>
      <c r="K721" s="12"/>
      <c r="L721" s="10"/>
      <c r="M721" s="10"/>
      <c r="N721" s="13"/>
      <c r="O721" s="10"/>
      <c r="P721" s="10"/>
      <c r="Q721" s="10"/>
      <c r="R721" s="18"/>
      <c r="S721" s="10"/>
      <c r="T721" s="10"/>
      <c r="U721" s="13"/>
      <c r="V721" s="13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3"/>
      <c r="AL721" s="14"/>
      <c r="AM721" s="15"/>
      <c r="AN721" s="15"/>
      <c r="AO721" s="13"/>
      <c r="AP721" s="13"/>
      <c r="AQ721" s="16"/>
      <c r="AR721" s="10"/>
      <c r="AS721" s="10"/>
      <c r="AT721" s="10"/>
      <c r="AU721" s="10"/>
      <c r="AV721" s="11"/>
      <c r="AW721" s="11"/>
      <c r="AX721" s="10"/>
      <c r="AY721" s="11"/>
      <c r="AZ721" s="11"/>
      <c r="BA721" s="11"/>
      <c r="BB721" s="10"/>
      <c r="BC721" s="11"/>
      <c r="BD721" s="11"/>
      <c r="BE721" s="11"/>
      <c r="BF721" s="11"/>
      <c r="BG721" s="11"/>
      <c r="BH721" s="11"/>
      <c r="BI721" s="11"/>
      <c r="BJ721" s="11"/>
      <c r="BK721" s="11"/>
      <c r="BL721" s="11"/>
      <c r="BM721" s="11"/>
      <c r="BN721" s="11"/>
      <c r="BO721" s="11"/>
      <c r="BP721" s="11"/>
      <c r="BQ721" s="11"/>
      <c r="BR721" s="11"/>
      <c r="BS721" s="11"/>
      <c r="BT721" s="11"/>
      <c r="BU721" s="11"/>
      <c r="BV721" s="11"/>
      <c r="BW721" s="11"/>
      <c r="BX721" s="11"/>
      <c r="BY721" s="11"/>
      <c r="BZ721" s="11"/>
      <c r="CA721" s="11"/>
      <c r="CB721" s="11"/>
      <c r="CC721" s="17"/>
      <c r="CD721" s="17"/>
      <c r="CE721" s="11"/>
      <c r="CF721" s="13"/>
      <c r="CG721" s="13"/>
      <c r="CH721" s="13"/>
      <c r="CI721" s="13"/>
      <c r="CJ721" s="13"/>
    </row>
    <row r="722" spans="1:88" s="9" customFormat="1" x14ac:dyDescent="0.25">
      <c r="A722" s="10"/>
      <c r="B722" s="10"/>
      <c r="C722" s="10"/>
      <c r="D722" s="10"/>
      <c r="E722" s="11"/>
      <c r="F722" s="10"/>
      <c r="G722" s="10"/>
      <c r="H722" s="10"/>
      <c r="I722" s="10"/>
      <c r="J722" s="10"/>
      <c r="K722" s="12"/>
      <c r="L722" s="10"/>
      <c r="M722" s="10"/>
      <c r="N722" s="13"/>
      <c r="O722" s="10"/>
      <c r="P722" s="10"/>
      <c r="Q722" s="10"/>
      <c r="R722" s="18"/>
      <c r="S722" s="10"/>
      <c r="T722" s="10"/>
      <c r="U722" s="13"/>
      <c r="V722" s="13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3"/>
      <c r="AL722" s="14"/>
      <c r="AM722" s="15"/>
      <c r="AN722" s="15"/>
      <c r="AO722" s="13"/>
      <c r="AP722" s="13"/>
      <c r="AQ722" s="16"/>
      <c r="AR722" s="10"/>
      <c r="AS722" s="10"/>
      <c r="AT722" s="10"/>
      <c r="AU722" s="10"/>
      <c r="AV722" s="11"/>
      <c r="AW722" s="11"/>
      <c r="AX722" s="10"/>
      <c r="AY722" s="11"/>
      <c r="AZ722" s="11"/>
      <c r="BA722" s="11"/>
      <c r="BB722" s="10"/>
      <c r="BC722" s="11"/>
      <c r="BD722" s="11"/>
      <c r="BE722" s="11"/>
      <c r="BF722" s="11"/>
      <c r="BG722" s="11"/>
      <c r="BH722" s="11"/>
      <c r="BI722" s="11"/>
      <c r="BJ722" s="11"/>
      <c r="BK722" s="11"/>
      <c r="BL722" s="11"/>
      <c r="BM722" s="11"/>
      <c r="BN722" s="11"/>
      <c r="BO722" s="11"/>
      <c r="BP722" s="11"/>
      <c r="BQ722" s="11"/>
      <c r="BR722" s="11"/>
      <c r="BS722" s="11"/>
      <c r="BT722" s="11"/>
      <c r="BU722" s="11"/>
      <c r="BV722" s="11"/>
      <c r="BW722" s="11"/>
      <c r="BX722" s="11"/>
      <c r="BY722" s="11"/>
      <c r="BZ722" s="11"/>
      <c r="CA722" s="11"/>
      <c r="CB722" s="11"/>
      <c r="CC722" s="17"/>
      <c r="CD722" s="17"/>
      <c r="CE722" s="11"/>
      <c r="CF722" s="13"/>
      <c r="CG722" s="13"/>
      <c r="CH722" s="13"/>
      <c r="CI722" s="13"/>
      <c r="CJ722" s="13"/>
    </row>
    <row r="723" spans="1:88" s="9" customFormat="1" x14ac:dyDescent="0.25">
      <c r="A723" s="10"/>
      <c r="B723" s="10"/>
      <c r="C723" s="10"/>
      <c r="D723" s="10"/>
      <c r="E723" s="11"/>
      <c r="F723" s="10"/>
      <c r="G723" s="10"/>
      <c r="H723" s="10"/>
      <c r="I723" s="10"/>
      <c r="J723" s="10"/>
      <c r="K723" s="12"/>
      <c r="L723" s="10"/>
      <c r="M723" s="10"/>
      <c r="N723" s="13"/>
      <c r="O723" s="10"/>
      <c r="P723" s="10"/>
      <c r="Q723" s="10"/>
      <c r="R723" s="18"/>
      <c r="S723" s="10"/>
      <c r="T723" s="10"/>
      <c r="U723" s="13"/>
      <c r="V723" s="13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3"/>
      <c r="AL723" s="14"/>
      <c r="AM723" s="15"/>
      <c r="AN723" s="15"/>
      <c r="AO723" s="13"/>
      <c r="AP723" s="13"/>
      <c r="AQ723" s="16"/>
      <c r="AR723" s="10"/>
      <c r="AS723" s="10"/>
      <c r="AT723" s="10"/>
      <c r="AU723" s="10"/>
      <c r="AV723" s="11"/>
      <c r="AW723" s="11"/>
      <c r="AX723" s="10"/>
      <c r="AY723" s="11"/>
      <c r="AZ723" s="11"/>
      <c r="BA723" s="11"/>
      <c r="BB723" s="10"/>
      <c r="BC723" s="11"/>
      <c r="BD723" s="11"/>
      <c r="BE723" s="11"/>
      <c r="BF723" s="11"/>
      <c r="BG723" s="11"/>
      <c r="BH723" s="11"/>
      <c r="BI723" s="11"/>
      <c r="BJ723" s="11"/>
      <c r="BK723" s="11"/>
      <c r="BL723" s="11"/>
      <c r="BM723" s="11"/>
      <c r="BN723" s="11"/>
      <c r="BO723" s="11"/>
      <c r="BP723" s="11"/>
      <c r="BQ723" s="11"/>
      <c r="BR723" s="11"/>
      <c r="BS723" s="11"/>
      <c r="BT723" s="11"/>
      <c r="BU723" s="11"/>
      <c r="BV723" s="11"/>
      <c r="BW723" s="11"/>
      <c r="BX723" s="11"/>
      <c r="BY723" s="11"/>
      <c r="BZ723" s="11"/>
      <c r="CA723" s="11"/>
      <c r="CB723" s="11"/>
      <c r="CC723" s="17"/>
      <c r="CD723" s="17"/>
      <c r="CE723" s="11"/>
      <c r="CF723" s="13"/>
      <c r="CG723" s="13"/>
      <c r="CH723" s="13"/>
      <c r="CI723" s="13"/>
      <c r="CJ723" s="13"/>
    </row>
    <row r="724" spans="1:88" s="9" customFormat="1" x14ac:dyDescent="0.25">
      <c r="A724" s="10"/>
      <c r="B724" s="10"/>
      <c r="C724" s="10"/>
      <c r="D724" s="10"/>
      <c r="E724" s="11"/>
      <c r="F724" s="10"/>
      <c r="G724" s="10"/>
      <c r="H724" s="10"/>
      <c r="I724" s="10"/>
      <c r="J724" s="10"/>
      <c r="K724" s="12"/>
      <c r="L724" s="10"/>
      <c r="M724" s="10"/>
      <c r="N724" s="13"/>
      <c r="O724" s="10"/>
      <c r="P724" s="10"/>
      <c r="Q724" s="10"/>
      <c r="R724" s="18"/>
      <c r="S724" s="10"/>
      <c r="T724" s="10"/>
      <c r="U724" s="13"/>
      <c r="V724" s="13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3"/>
      <c r="AL724" s="14"/>
      <c r="AM724" s="15"/>
      <c r="AN724" s="15"/>
      <c r="AO724" s="13"/>
      <c r="AP724" s="13"/>
      <c r="AQ724" s="16"/>
      <c r="AR724" s="10"/>
      <c r="AS724" s="10"/>
      <c r="AT724" s="10"/>
      <c r="AU724" s="10"/>
      <c r="AV724" s="11"/>
      <c r="AW724" s="11"/>
      <c r="AX724" s="10"/>
      <c r="AY724" s="11"/>
      <c r="AZ724" s="11"/>
      <c r="BA724" s="11"/>
      <c r="BB724" s="10"/>
      <c r="BC724" s="11"/>
      <c r="BD724" s="11"/>
      <c r="BE724" s="11"/>
      <c r="BF724" s="11"/>
      <c r="BG724" s="11"/>
      <c r="BH724" s="11"/>
      <c r="BI724" s="11"/>
      <c r="BJ724" s="11"/>
      <c r="BK724" s="11"/>
      <c r="BL724" s="11"/>
      <c r="BM724" s="11"/>
      <c r="BN724" s="11"/>
      <c r="BO724" s="11"/>
      <c r="BP724" s="11"/>
      <c r="BQ724" s="11"/>
      <c r="BR724" s="11"/>
      <c r="BS724" s="11"/>
      <c r="BT724" s="11"/>
      <c r="BU724" s="11"/>
      <c r="BV724" s="11"/>
      <c r="BW724" s="11"/>
      <c r="BX724" s="11"/>
      <c r="BY724" s="11"/>
      <c r="BZ724" s="11"/>
      <c r="CA724" s="11"/>
      <c r="CB724" s="11"/>
      <c r="CC724" s="17"/>
      <c r="CD724" s="17"/>
      <c r="CE724" s="11"/>
      <c r="CF724" s="13"/>
      <c r="CG724" s="13"/>
      <c r="CH724" s="13"/>
      <c r="CI724" s="13"/>
      <c r="CJ724" s="13"/>
    </row>
    <row r="725" spans="1:88" s="9" customFormat="1" x14ac:dyDescent="0.25">
      <c r="A725" s="10"/>
      <c r="B725" s="10"/>
      <c r="C725" s="10"/>
      <c r="D725" s="10"/>
      <c r="E725" s="11"/>
      <c r="F725" s="10"/>
      <c r="G725" s="10"/>
      <c r="H725" s="10"/>
      <c r="I725" s="10"/>
      <c r="J725" s="10"/>
      <c r="K725" s="12"/>
      <c r="L725" s="10"/>
      <c r="M725" s="10"/>
      <c r="N725" s="13"/>
      <c r="O725" s="10"/>
      <c r="P725" s="10"/>
      <c r="Q725" s="10"/>
      <c r="R725" s="18"/>
      <c r="S725" s="10"/>
      <c r="T725" s="10"/>
      <c r="U725" s="13"/>
      <c r="V725" s="13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3"/>
      <c r="AL725" s="14"/>
      <c r="AM725" s="15"/>
      <c r="AN725" s="15"/>
      <c r="AO725" s="13"/>
      <c r="AP725" s="13"/>
      <c r="AQ725" s="16"/>
      <c r="AR725" s="10"/>
      <c r="AS725" s="10"/>
      <c r="AT725" s="10"/>
      <c r="AU725" s="10"/>
      <c r="AV725" s="11"/>
      <c r="AW725" s="11"/>
      <c r="AX725" s="10"/>
      <c r="AY725" s="11"/>
      <c r="AZ725" s="11"/>
      <c r="BA725" s="11"/>
      <c r="BB725" s="10"/>
      <c r="BC725" s="11"/>
      <c r="BD725" s="11"/>
      <c r="BE725" s="11"/>
      <c r="BF725" s="11"/>
      <c r="BG725" s="11"/>
      <c r="BH725" s="11"/>
      <c r="BI725" s="11"/>
      <c r="BJ725" s="11"/>
      <c r="BK725" s="11"/>
      <c r="BL725" s="11"/>
      <c r="BM725" s="11"/>
      <c r="BN725" s="11"/>
      <c r="BO725" s="11"/>
      <c r="BP725" s="11"/>
      <c r="BQ725" s="11"/>
      <c r="BR725" s="11"/>
      <c r="BS725" s="11"/>
      <c r="BT725" s="11"/>
      <c r="BU725" s="11"/>
      <c r="BV725" s="11"/>
      <c r="BW725" s="11"/>
      <c r="BX725" s="11"/>
      <c r="BY725" s="11"/>
      <c r="BZ725" s="11"/>
      <c r="CA725" s="11"/>
      <c r="CB725" s="11"/>
      <c r="CC725" s="17"/>
      <c r="CD725" s="17"/>
      <c r="CE725" s="11"/>
      <c r="CF725" s="13"/>
      <c r="CG725" s="13"/>
      <c r="CH725" s="13"/>
      <c r="CI725" s="13"/>
      <c r="CJ725" s="13"/>
    </row>
    <row r="726" spans="1:88" s="9" customFormat="1" x14ac:dyDescent="0.25">
      <c r="A726" s="10"/>
      <c r="B726" s="10"/>
      <c r="C726" s="10"/>
      <c r="D726" s="10"/>
      <c r="E726" s="11"/>
      <c r="F726" s="10"/>
      <c r="G726" s="10"/>
      <c r="H726" s="10"/>
      <c r="I726" s="10"/>
      <c r="J726" s="10"/>
      <c r="K726" s="12"/>
      <c r="L726" s="10"/>
      <c r="M726" s="10"/>
      <c r="N726" s="13"/>
      <c r="O726" s="10"/>
      <c r="P726" s="10"/>
      <c r="Q726" s="10"/>
      <c r="R726" s="18"/>
      <c r="S726" s="10"/>
      <c r="T726" s="10"/>
      <c r="U726" s="13"/>
      <c r="V726" s="13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3"/>
      <c r="AL726" s="14"/>
      <c r="AM726" s="15"/>
      <c r="AN726" s="15"/>
      <c r="AO726" s="13"/>
      <c r="AP726" s="13"/>
      <c r="AQ726" s="16"/>
      <c r="AR726" s="10"/>
      <c r="AS726" s="10"/>
      <c r="AT726" s="10"/>
      <c r="AU726" s="10"/>
      <c r="AV726" s="11"/>
      <c r="AW726" s="11"/>
      <c r="AX726" s="10"/>
      <c r="AY726" s="11"/>
      <c r="AZ726" s="11"/>
      <c r="BA726" s="11"/>
      <c r="BB726" s="10"/>
      <c r="BC726" s="11"/>
      <c r="BD726" s="11"/>
      <c r="BE726" s="11"/>
      <c r="BF726" s="11"/>
      <c r="BG726" s="11"/>
      <c r="BH726" s="11"/>
      <c r="BI726" s="11"/>
      <c r="BJ726" s="11"/>
      <c r="BK726" s="11"/>
      <c r="BL726" s="11"/>
      <c r="BM726" s="11"/>
      <c r="BN726" s="11"/>
      <c r="BO726" s="11"/>
      <c r="BP726" s="11"/>
      <c r="BQ726" s="11"/>
      <c r="BR726" s="11"/>
      <c r="BS726" s="11"/>
      <c r="BT726" s="11"/>
      <c r="BU726" s="11"/>
      <c r="BV726" s="11"/>
      <c r="BW726" s="11"/>
      <c r="BX726" s="11"/>
      <c r="BY726" s="11"/>
      <c r="BZ726" s="11"/>
      <c r="CA726" s="11"/>
      <c r="CB726" s="11"/>
      <c r="CC726" s="17"/>
      <c r="CD726" s="17"/>
      <c r="CE726" s="11"/>
      <c r="CF726" s="13"/>
      <c r="CG726" s="13"/>
      <c r="CH726" s="13"/>
      <c r="CI726" s="13"/>
      <c r="CJ726" s="13"/>
    </row>
    <row r="727" spans="1:88" s="9" customFormat="1" x14ac:dyDescent="0.25">
      <c r="A727" s="10"/>
      <c r="B727" s="10"/>
      <c r="C727" s="10"/>
      <c r="D727" s="10"/>
      <c r="E727" s="11"/>
      <c r="F727" s="10"/>
      <c r="G727" s="10"/>
      <c r="H727" s="10"/>
      <c r="I727" s="10"/>
      <c r="J727" s="10"/>
      <c r="K727" s="12"/>
      <c r="L727" s="10"/>
      <c r="M727" s="10"/>
      <c r="N727" s="13"/>
      <c r="O727" s="10"/>
      <c r="P727" s="10"/>
      <c r="Q727" s="10"/>
      <c r="R727" s="18"/>
      <c r="S727" s="10"/>
      <c r="T727" s="10"/>
      <c r="U727" s="13"/>
      <c r="V727" s="13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3"/>
      <c r="AL727" s="14"/>
      <c r="AM727" s="15"/>
      <c r="AN727" s="15"/>
      <c r="AO727" s="13"/>
      <c r="AP727" s="13"/>
      <c r="AQ727" s="16"/>
      <c r="AR727" s="10"/>
      <c r="AS727" s="10"/>
      <c r="AT727" s="10"/>
      <c r="AU727" s="10"/>
      <c r="AV727" s="11"/>
      <c r="AW727" s="11"/>
      <c r="AX727" s="10"/>
      <c r="AY727" s="11"/>
      <c r="AZ727" s="11"/>
      <c r="BA727" s="11"/>
      <c r="BB727" s="10"/>
      <c r="BC727" s="11"/>
      <c r="BD727" s="11"/>
      <c r="BE727" s="11"/>
      <c r="BF727" s="11"/>
      <c r="BG727" s="11"/>
      <c r="BH727" s="11"/>
      <c r="BI727" s="11"/>
      <c r="BJ727" s="11"/>
      <c r="BK727" s="11"/>
      <c r="BL727" s="11"/>
      <c r="BM727" s="11"/>
      <c r="BN727" s="11"/>
      <c r="BO727" s="11"/>
      <c r="BP727" s="11"/>
      <c r="BQ727" s="11"/>
      <c r="BR727" s="11"/>
      <c r="BS727" s="11"/>
      <c r="BT727" s="11"/>
      <c r="BU727" s="11"/>
      <c r="BV727" s="11"/>
      <c r="BW727" s="11"/>
      <c r="BX727" s="11"/>
      <c r="BY727" s="11"/>
      <c r="BZ727" s="11"/>
      <c r="CA727" s="11"/>
      <c r="CB727" s="11"/>
      <c r="CC727" s="17"/>
      <c r="CD727" s="17"/>
      <c r="CE727" s="11"/>
      <c r="CF727" s="13"/>
      <c r="CG727" s="13"/>
      <c r="CH727" s="13"/>
      <c r="CI727" s="13"/>
      <c r="CJ727" s="13"/>
    </row>
    <row r="728" spans="1:88" s="9" customFormat="1" x14ac:dyDescent="0.25">
      <c r="A728" s="10"/>
      <c r="B728" s="10"/>
      <c r="C728" s="10"/>
      <c r="D728" s="10"/>
      <c r="E728" s="11"/>
      <c r="F728" s="10"/>
      <c r="G728" s="10"/>
      <c r="H728" s="10"/>
      <c r="I728" s="10"/>
      <c r="J728" s="10"/>
      <c r="K728" s="12"/>
      <c r="L728" s="10"/>
      <c r="M728" s="10"/>
      <c r="N728" s="13"/>
      <c r="O728" s="10"/>
      <c r="P728" s="10"/>
      <c r="Q728" s="10"/>
      <c r="R728" s="18"/>
      <c r="S728" s="10"/>
      <c r="T728" s="10"/>
      <c r="U728" s="13"/>
      <c r="V728" s="13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3"/>
      <c r="AL728" s="14"/>
      <c r="AM728" s="15"/>
      <c r="AN728" s="15"/>
      <c r="AO728" s="13"/>
      <c r="AP728" s="13"/>
      <c r="AQ728" s="16"/>
      <c r="AR728" s="10"/>
      <c r="AS728" s="10"/>
      <c r="AT728" s="10"/>
      <c r="AU728" s="10"/>
      <c r="AV728" s="11"/>
      <c r="AW728" s="11"/>
      <c r="AX728" s="10"/>
      <c r="AY728" s="11"/>
      <c r="AZ728" s="11"/>
      <c r="BA728" s="11"/>
      <c r="BB728" s="10"/>
      <c r="BC728" s="11"/>
      <c r="BD728" s="11"/>
      <c r="BE728" s="11"/>
      <c r="BF728" s="11"/>
      <c r="BG728" s="11"/>
      <c r="BH728" s="11"/>
      <c r="BI728" s="11"/>
      <c r="BJ728" s="11"/>
      <c r="BK728" s="11"/>
      <c r="BL728" s="11"/>
      <c r="BM728" s="11"/>
      <c r="BN728" s="11"/>
      <c r="BO728" s="11"/>
      <c r="BP728" s="11"/>
      <c r="BQ728" s="11"/>
      <c r="BR728" s="11"/>
      <c r="BS728" s="11"/>
      <c r="BT728" s="11"/>
      <c r="BU728" s="11"/>
      <c r="BV728" s="11"/>
      <c r="BW728" s="11"/>
      <c r="BX728" s="11"/>
      <c r="BY728" s="11"/>
      <c r="BZ728" s="11"/>
      <c r="CA728" s="11"/>
      <c r="CB728" s="11"/>
      <c r="CC728" s="17"/>
      <c r="CD728" s="17"/>
      <c r="CE728" s="11"/>
      <c r="CF728" s="13"/>
      <c r="CG728" s="13"/>
      <c r="CH728" s="13"/>
      <c r="CI728" s="13"/>
      <c r="CJ728" s="13"/>
    </row>
    <row r="729" spans="1:88" s="9" customFormat="1" x14ac:dyDescent="0.25">
      <c r="A729" s="10"/>
      <c r="B729" s="10"/>
      <c r="C729" s="10"/>
      <c r="D729" s="10"/>
      <c r="E729" s="11"/>
      <c r="F729" s="10"/>
      <c r="G729" s="10"/>
      <c r="H729" s="10"/>
      <c r="I729" s="10"/>
      <c r="J729" s="10"/>
      <c r="K729" s="12"/>
      <c r="L729" s="10"/>
      <c r="M729" s="10"/>
      <c r="N729" s="13"/>
      <c r="O729" s="10"/>
      <c r="P729" s="10"/>
      <c r="Q729" s="10"/>
      <c r="R729" s="18"/>
      <c r="S729" s="10"/>
      <c r="T729" s="10"/>
      <c r="U729" s="13"/>
      <c r="V729" s="13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3"/>
      <c r="AL729" s="14"/>
      <c r="AM729" s="15"/>
      <c r="AN729" s="15"/>
      <c r="AO729" s="13"/>
      <c r="AP729" s="13"/>
      <c r="AQ729" s="16"/>
      <c r="AR729" s="10"/>
      <c r="AS729" s="10"/>
      <c r="AT729" s="10"/>
      <c r="AU729" s="10"/>
      <c r="AV729" s="11"/>
      <c r="AW729" s="11"/>
      <c r="AX729" s="10"/>
      <c r="AY729" s="11"/>
      <c r="AZ729" s="11"/>
      <c r="BA729" s="11"/>
      <c r="BB729" s="10"/>
      <c r="BC729" s="11"/>
      <c r="BD729" s="11"/>
      <c r="BE729" s="11"/>
      <c r="BF729" s="11"/>
      <c r="BG729" s="11"/>
      <c r="BH729" s="11"/>
      <c r="BI729" s="11"/>
      <c r="BJ729" s="11"/>
      <c r="BK729" s="11"/>
      <c r="BL729" s="11"/>
      <c r="BM729" s="11"/>
      <c r="BN729" s="11"/>
      <c r="BO729" s="11"/>
      <c r="BP729" s="11"/>
      <c r="BQ729" s="11"/>
      <c r="BR729" s="11"/>
      <c r="BS729" s="11"/>
      <c r="BT729" s="11"/>
      <c r="BU729" s="11"/>
      <c r="BV729" s="11"/>
      <c r="BW729" s="11"/>
      <c r="BX729" s="11"/>
      <c r="BY729" s="11"/>
      <c r="BZ729" s="11"/>
      <c r="CA729" s="11"/>
      <c r="CB729" s="11"/>
      <c r="CC729" s="17"/>
      <c r="CD729" s="17"/>
      <c r="CE729" s="11"/>
      <c r="CF729" s="13"/>
      <c r="CG729" s="13"/>
      <c r="CH729" s="13"/>
      <c r="CI729" s="13"/>
      <c r="CJ729" s="13"/>
    </row>
    <row r="730" spans="1:88" s="9" customFormat="1" x14ac:dyDescent="0.25">
      <c r="A730" s="10"/>
      <c r="B730" s="10"/>
      <c r="C730" s="10"/>
      <c r="D730" s="10"/>
      <c r="E730" s="11"/>
      <c r="F730" s="10"/>
      <c r="G730" s="10"/>
      <c r="H730" s="10"/>
      <c r="I730" s="10"/>
      <c r="J730" s="10"/>
      <c r="K730" s="12"/>
      <c r="L730" s="10"/>
      <c r="M730" s="10"/>
      <c r="N730" s="13"/>
      <c r="O730" s="10"/>
      <c r="P730" s="10"/>
      <c r="Q730" s="10"/>
      <c r="R730" s="18"/>
      <c r="S730" s="10"/>
      <c r="T730" s="10"/>
      <c r="U730" s="13"/>
      <c r="V730" s="13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3"/>
      <c r="AL730" s="14"/>
      <c r="AM730" s="15"/>
      <c r="AN730" s="15"/>
      <c r="AO730" s="13"/>
      <c r="AP730" s="13"/>
      <c r="AQ730" s="16"/>
      <c r="AR730" s="10"/>
      <c r="AS730" s="10"/>
      <c r="AT730" s="10"/>
      <c r="AU730" s="10"/>
      <c r="AV730" s="11"/>
      <c r="AW730" s="11"/>
      <c r="AX730" s="10"/>
      <c r="AY730" s="11"/>
      <c r="AZ730" s="11"/>
      <c r="BA730" s="11"/>
      <c r="BB730" s="10"/>
      <c r="BC730" s="11"/>
      <c r="BD730" s="11"/>
      <c r="BE730" s="11"/>
      <c r="BF730" s="11"/>
      <c r="BG730" s="11"/>
      <c r="BH730" s="11"/>
      <c r="BI730" s="11"/>
      <c r="BJ730" s="11"/>
      <c r="BK730" s="11"/>
      <c r="BL730" s="11"/>
      <c r="BM730" s="11"/>
      <c r="BN730" s="11"/>
      <c r="BO730" s="11"/>
      <c r="BP730" s="11"/>
      <c r="BQ730" s="11"/>
      <c r="BR730" s="11"/>
      <c r="BS730" s="11"/>
      <c r="BT730" s="11"/>
      <c r="BU730" s="11"/>
      <c r="BV730" s="11"/>
      <c r="BW730" s="11"/>
      <c r="BX730" s="11"/>
      <c r="BY730" s="11"/>
      <c r="BZ730" s="11"/>
      <c r="CA730" s="11"/>
      <c r="CB730" s="11"/>
      <c r="CC730" s="17"/>
      <c r="CD730" s="17"/>
      <c r="CE730" s="11"/>
      <c r="CF730" s="13"/>
      <c r="CG730" s="13"/>
      <c r="CH730" s="13"/>
      <c r="CI730" s="13"/>
      <c r="CJ730" s="13"/>
    </row>
    <row r="731" spans="1:88" s="9" customFormat="1" x14ac:dyDescent="0.25">
      <c r="A731" s="10"/>
      <c r="B731" s="10"/>
      <c r="C731" s="10"/>
      <c r="D731" s="10"/>
      <c r="E731" s="11"/>
      <c r="F731" s="10"/>
      <c r="G731" s="10"/>
      <c r="H731" s="10"/>
      <c r="I731" s="10"/>
      <c r="J731" s="10"/>
      <c r="K731" s="12"/>
      <c r="L731" s="10"/>
      <c r="M731" s="10"/>
      <c r="N731" s="13"/>
      <c r="O731" s="10"/>
      <c r="P731" s="10"/>
      <c r="Q731" s="10"/>
      <c r="R731" s="18"/>
      <c r="S731" s="10"/>
      <c r="T731" s="10"/>
      <c r="U731" s="13"/>
      <c r="V731" s="13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3"/>
      <c r="AL731" s="14"/>
      <c r="AM731" s="15"/>
      <c r="AN731" s="15"/>
      <c r="AO731" s="13"/>
      <c r="AP731" s="13"/>
      <c r="AQ731" s="16"/>
      <c r="AR731" s="10"/>
      <c r="AS731" s="10"/>
      <c r="AT731" s="10"/>
      <c r="AU731" s="10"/>
      <c r="AV731" s="11"/>
      <c r="AW731" s="11"/>
      <c r="AX731" s="10"/>
      <c r="AY731" s="11"/>
      <c r="AZ731" s="11"/>
      <c r="BA731" s="11"/>
      <c r="BB731" s="10"/>
      <c r="BC731" s="11"/>
      <c r="BD731" s="11"/>
      <c r="BE731" s="11"/>
      <c r="BF731" s="11"/>
      <c r="BG731" s="11"/>
      <c r="BH731" s="11"/>
      <c r="BI731" s="11"/>
      <c r="BJ731" s="11"/>
      <c r="BK731" s="11"/>
      <c r="BL731" s="11"/>
      <c r="BM731" s="11"/>
      <c r="BN731" s="11"/>
      <c r="BO731" s="11"/>
      <c r="BP731" s="11"/>
      <c r="BQ731" s="11"/>
      <c r="BR731" s="11"/>
      <c r="BS731" s="11"/>
      <c r="BT731" s="11"/>
      <c r="BU731" s="11"/>
      <c r="BV731" s="11"/>
      <c r="BW731" s="11"/>
      <c r="BX731" s="11"/>
      <c r="BY731" s="11"/>
      <c r="BZ731" s="11"/>
      <c r="CA731" s="11"/>
      <c r="CB731" s="11"/>
      <c r="CC731" s="17"/>
      <c r="CD731" s="17"/>
      <c r="CE731" s="11"/>
      <c r="CF731" s="13"/>
      <c r="CG731" s="13"/>
      <c r="CH731" s="13"/>
      <c r="CI731" s="13"/>
      <c r="CJ731" s="13"/>
    </row>
    <row r="732" spans="1:88" s="9" customFormat="1" x14ac:dyDescent="0.25">
      <c r="A732" s="10"/>
      <c r="B732" s="10"/>
      <c r="C732" s="10"/>
      <c r="D732" s="10"/>
      <c r="E732" s="11"/>
      <c r="F732" s="10"/>
      <c r="G732" s="10"/>
      <c r="H732" s="10"/>
      <c r="I732" s="10"/>
      <c r="J732" s="10"/>
      <c r="K732" s="12"/>
      <c r="L732" s="10"/>
      <c r="M732" s="10"/>
      <c r="N732" s="13"/>
      <c r="O732" s="10"/>
      <c r="P732" s="10"/>
      <c r="Q732" s="10"/>
      <c r="R732" s="18"/>
      <c r="S732" s="10"/>
      <c r="T732" s="10"/>
      <c r="U732" s="13"/>
      <c r="V732" s="13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3"/>
      <c r="AL732" s="14"/>
      <c r="AM732" s="15"/>
      <c r="AN732" s="15"/>
      <c r="AO732" s="13"/>
      <c r="AP732" s="13"/>
      <c r="AQ732" s="16"/>
      <c r="AR732" s="10"/>
      <c r="AS732" s="10"/>
      <c r="AT732" s="10"/>
      <c r="AU732" s="10"/>
      <c r="AV732" s="11"/>
      <c r="AW732" s="11"/>
      <c r="AX732" s="10"/>
      <c r="AY732" s="11"/>
      <c r="AZ732" s="11"/>
      <c r="BA732" s="11"/>
      <c r="BB732" s="10"/>
      <c r="BC732" s="11"/>
      <c r="BD732" s="11"/>
      <c r="BE732" s="11"/>
      <c r="BF732" s="11"/>
      <c r="BG732" s="11"/>
      <c r="BH732" s="11"/>
      <c r="BI732" s="11"/>
      <c r="BJ732" s="11"/>
      <c r="BK732" s="11"/>
      <c r="BL732" s="11"/>
      <c r="BM732" s="11"/>
      <c r="BN732" s="11"/>
      <c r="BO732" s="11"/>
      <c r="BP732" s="11"/>
      <c r="BQ732" s="11"/>
      <c r="BR732" s="11"/>
      <c r="BS732" s="11"/>
      <c r="BT732" s="11"/>
      <c r="BU732" s="11"/>
      <c r="BV732" s="11"/>
      <c r="BW732" s="11"/>
      <c r="BX732" s="11"/>
      <c r="BY732" s="11"/>
      <c r="BZ732" s="11"/>
      <c r="CA732" s="11"/>
      <c r="CB732" s="11"/>
      <c r="CC732" s="17"/>
      <c r="CD732" s="17"/>
      <c r="CE732" s="11"/>
      <c r="CF732" s="13"/>
      <c r="CG732" s="13"/>
      <c r="CH732" s="13"/>
      <c r="CI732" s="13"/>
      <c r="CJ732" s="13"/>
    </row>
    <row r="733" spans="1:88" s="9" customFormat="1" x14ac:dyDescent="0.25">
      <c r="A733" s="10"/>
      <c r="B733" s="10"/>
      <c r="C733" s="10"/>
      <c r="D733" s="10"/>
      <c r="E733" s="11"/>
      <c r="F733" s="10"/>
      <c r="G733" s="10"/>
      <c r="H733" s="10"/>
      <c r="I733" s="10"/>
      <c r="J733" s="10"/>
      <c r="K733" s="12"/>
      <c r="L733" s="10"/>
      <c r="M733" s="10"/>
      <c r="N733" s="13"/>
      <c r="O733" s="10"/>
      <c r="P733" s="10"/>
      <c r="Q733" s="10"/>
      <c r="R733" s="18"/>
      <c r="S733" s="10"/>
      <c r="T733" s="10"/>
      <c r="U733" s="13"/>
      <c r="V733" s="13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3"/>
      <c r="AL733" s="14"/>
      <c r="AM733" s="15"/>
      <c r="AN733" s="15"/>
      <c r="AO733" s="13"/>
      <c r="AP733" s="13"/>
      <c r="AQ733" s="16"/>
      <c r="AR733" s="10"/>
      <c r="AS733" s="10"/>
      <c r="AT733" s="10"/>
      <c r="AU733" s="10"/>
      <c r="AV733" s="11"/>
      <c r="AW733" s="11"/>
      <c r="AX733" s="10"/>
      <c r="AY733" s="11"/>
      <c r="AZ733" s="11"/>
      <c r="BA733" s="11"/>
      <c r="BB733" s="10"/>
      <c r="BC733" s="11"/>
      <c r="BD733" s="11"/>
      <c r="BE733" s="11"/>
      <c r="BF733" s="11"/>
      <c r="BG733" s="11"/>
      <c r="BH733" s="11"/>
      <c r="BI733" s="11"/>
      <c r="BJ733" s="11"/>
      <c r="BK733" s="11"/>
      <c r="BL733" s="11"/>
      <c r="BM733" s="11"/>
      <c r="BN733" s="11"/>
      <c r="BO733" s="11"/>
      <c r="BP733" s="11"/>
      <c r="BQ733" s="11"/>
      <c r="BR733" s="11"/>
      <c r="BS733" s="11"/>
      <c r="BT733" s="11"/>
      <c r="BU733" s="11"/>
      <c r="BV733" s="11"/>
      <c r="BW733" s="11"/>
      <c r="BX733" s="11"/>
      <c r="BY733" s="11"/>
      <c r="BZ733" s="11"/>
      <c r="CA733" s="11"/>
      <c r="CB733" s="11"/>
      <c r="CC733" s="17"/>
      <c r="CD733" s="17"/>
      <c r="CE733" s="11"/>
      <c r="CF733" s="13"/>
      <c r="CG733" s="13"/>
      <c r="CH733" s="13"/>
      <c r="CI733" s="13"/>
      <c r="CJ733" s="13"/>
    </row>
    <row r="734" spans="1:88" s="9" customFormat="1" x14ac:dyDescent="0.25">
      <c r="A734" s="10"/>
      <c r="B734" s="10"/>
      <c r="C734" s="10"/>
      <c r="D734" s="10"/>
      <c r="E734" s="11"/>
      <c r="F734" s="10"/>
      <c r="G734" s="10"/>
      <c r="H734" s="10"/>
      <c r="I734" s="10"/>
      <c r="J734" s="10"/>
      <c r="K734" s="12"/>
      <c r="L734" s="10"/>
      <c r="M734" s="10"/>
      <c r="N734" s="13"/>
      <c r="O734" s="10"/>
      <c r="P734" s="10"/>
      <c r="Q734" s="10"/>
      <c r="R734" s="18"/>
      <c r="S734" s="10"/>
      <c r="T734" s="10"/>
      <c r="U734" s="13"/>
      <c r="V734" s="13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3"/>
      <c r="AL734" s="14"/>
      <c r="AM734" s="15"/>
      <c r="AN734" s="15"/>
      <c r="AO734" s="13"/>
      <c r="AP734" s="13"/>
      <c r="AQ734" s="16"/>
      <c r="AR734" s="10"/>
      <c r="AS734" s="10"/>
      <c r="AT734" s="10"/>
      <c r="AU734" s="10"/>
      <c r="AV734" s="11"/>
      <c r="AW734" s="11"/>
      <c r="AX734" s="10"/>
      <c r="AY734" s="11"/>
      <c r="AZ734" s="11"/>
      <c r="BA734" s="11"/>
      <c r="BB734" s="10"/>
      <c r="BC734" s="11"/>
      <c r="BD734" s="11"/>
      <c r="BE734" s="11"/>
      <c r="BF734" s="11"/>
      <c r="BG734" s="11"/>
      <c r="BH734" s="11"/>
      <c r="BI734" s="11"/>
      <c r="BJ734" s="11"/>
      <c r="BK734" s="11"/>
      <c r="BL734" s="11"/>
      <c r="BM734" s="11"/>
      <c r="BN734" s="11"/>
      <c r="BO734" s="11"/>
      <c r="BP734" s="11"/>
      <c r="BQ734" s="11"/>
      <c r="BR734" s="11"/>
      <c r="BS734" s="11"/>
      <c r="BT734" s="11"/>
      <c r="BU734" s="11"/>
      <c r="BV734" s="11"/>
      <c r="BW734" s="11"/>
      <c r="BX734" s="11"/>
      <c r="BY734" s="11"/>
      <c r="BZ734" s="11"/>
      <c r="CA734" s="11"/>
      <c r="CB734" s="11"/>
      <c r="CC734" s="17"/>
      <c r="CD734" s="17"/>
      <c r="CE734" s="11"/>
      <c r="CF734" s="13"/>
      <c r="CG734" s="13"/>
      <c r="CH734" s="13"/>
      <c r="CI734" s="13"/>
      <c r="CJ734" s="13"/>
    </row>
    <row r="735" spans="1:88" s="9" customFormat="1" x14ac:dyDescent="0.25">
      <c r="A735" s="10"/>
      <c r="B735" s="10"/>
      <c r="C735" s="10"/>
      <c r="D735" s="10"/>
      <c r="E735" s="11"/>
      <c r="F735" s="10"/>
      <c r="G735" s="10"/>
      <c r="H735" s="10"/>
      <c r="I735" s="10"/>
      <c r="J735" s="10"/>
      <c r="K735" s="12"/>
      <c r="L735" s="10"/>
      <c r="M735" s="10"/>
      <c r="N735" s="13"/>
      <c r="O735" s="10"/>
      <c r="P735" s="10"/>
      <c r="Q735" s="10"/>
      <c r="R735" s="18"/>
      <c r="S735" s="10"/>
      <c r="T735" s="10"/>
      <c r="U735" s="13"/>
      <c r="V735" s="13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3"/>
      <c r="AL735" s="14"/>
      <c r="AM735" s="15"/>
      <c r="AN735" s="15"/>
      <c r="AO735" s="13"/>
      <c r="AP735" s="13"/>
      <c r="AQ735" s="16"/>
      <c r="AR735" s="10"/>
      <c r="AS735" s="10"/>
      <c r="AT735" s="10"/>
      <c r="AU735" s="10"/>
      <c r="AV735" s="11"/>
      <c r="AW735" s="11"/>
      <c r="AX735" s="10"/>
      <c r="AY735" s="11"/>
      <c r="AZ735" s="11"/>
      <c r="BA735" s="11"/>
      <c r="BB735" s="10"/>
      <c r="BC735" s="11"/>
      <c r="BD735" s="11"/>
      <c r="BE735" s="11"/>
      <c r="BF735" s="11"/>
      <c r="BG735" s="11"/>
      <c r="BH735" s="11"/>
      <c r="BI735" s="11"/>
      <c r="BJ735" s="11"/>
      <c r="BK735" s="11"/>
      <c r="BL735" s="11"/>
      <c r="BM735" s="11"/>
      <c r="BN735" s="11"/>
      <c r="BO735" s="11"/>
      <c r="BP735" s="11"/>
      <c r="BQ735" s="11"/>
      <c r="BR735" s="11"/>
      <c r="BS735" s="11"/>
      <c r="BT735" s="11"/>
      <c r="BU735" s="11"/>
      <c r="BV735" s="11"/>
      <c r="BW735" s="11"/>
      <c r="BX735" s="11"/>
      <c r="BY735" s="11"/>
      <c r="BZ735" s="11"/>
      <c r="CA735" s="11"/>
      <c r="CB735" s="11"/>
      <c r="CC735" s="17"/>
      <c r="CD735" s="17"/>
      <c r="CE735" s="11"/>
      <c r="CF735" s="13"/>
      <c r="CG735" s="13"/>
      <c r="CH735" s="13"/>
      <c r="CI735" s="13"/>
      <c r="CJ735" s="13"/>
    </row>
    <row r="736" spans="1:88" s="9" customFormat="1" x14ac:dyDescent="0.25">
      <c r="A736" s="10"/>
      <c r="B736" s="10"/>
      <c r="C736" s="10"/>
      <c r="D736" s="10"/>
      <c r="E736" s="11"/>
      <c r="F736" s="10"/>
      <c r="G736" s="10"/>
      <c r="H736" s="10"/>
      <c r="I736" s="10"/>
      <c r="J736" s="10"/>
      <c r="K736" s="12"/>
      <c r="L736" s="10"/>
      <c r="M736" s="10"/>
      <c r="N736" s="13"/>
      <c r="O736" s="10"/>
      <c r="P736" s="10"/>
      <c r="Q736" s="10"/>
      <c r="R736" s="18"/>
      <c r="S736" s="10"/>
      <c r="T736" s="10"/>
      <c r="U736" s="13"/>
      <c r="V736" s="13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3"/>
      <c r="AL736" s="14"/>
      <c r="AM736" s="15"/>
      <c r="AN736" s="15"/>
      <c r="AO736" s="13"/>
      <c r="AP736" s="13"/>
      <c r="AQ736" s="16"/>
      <c r="AR736" s="10"/>
      <c r="AS736" s="10"/>
      <c r="AT736" s="10"/>
      <c r="AU736" s="10"/>
      <c r="AV736" s="11"/>
      <c r="AW736" s="11"/>
      <c r="AX736" s="10"/>
      <c r="AY736" s="11"/>
      <c r="AZ736" s="11"/>
      <c r="BA736" s="11"/>
      <c r="BB736" s="10"/>
      <c r="BC736" s="11"/>
      <c r="BD736" s="11"/>
      <c r="BE736" s="11"/>
      <c r="BF736" s="11"/>
      <c r="BG736" s="11"/>
      <c r="BH736" s="11"/>
      <c r="BI736" s="11"/>
      <c r="BJ736" s="11"/>
      <c r="BK736" s="11"/>
      <c r="BL736" s="11"/>
      <c r="BM736" s="11"/>
      <c r="BN736" s="11"/>
      <c r="BO736" s="11"/>
      <c r="BP736" s="11"/>
      <c r="BQ736" s="11"/>
      <c r="BR736" s="11"/>
      <c r="BS736" s="11"/>
      <c r="BT736" s="11"/>
      <c r="BU736" s="11"/>
      <c r="BV736" s="11"/>
      <c r="BW736" s="11"/>
      <c r="BX736" s="11"/>
      <c r="BY736" s="11"/>
      <c r="BZ736" s="11"/>
      <c r="CA736" s="11"/>
      <c r="CB736" s="11"/>
      <c r="CC736" s="17"/>
      <c r="CD736" s="17"/>
      <c r="CE736" s="11"/>
      <c r="CF736" s="13"/>
      <c r="CG736" s="13"/>
      <c r="CH736" s="13"/>
      <c r="CI736" s="13"/>
      <c r="CJ736" s="13"/>
    </row>
    <row r="737" spans="1:88" s="9" customFormat="1" x14ac:dyDescent="0.25">
      <c r="A737" s="10"/>
      <c r="B737" s="10"/>
      <c r="C737" s="10"/>
      <c r="D737" s="10"/>
      <c r="E737" s="11"/>
      <c r="F737" s="10"/>
      <c r="G737" s="10"/>
      <c r="H737" s="10"/>
      <c r="I737" s="10"/>
      <c r="J737" s="10"/>
      <c r="K737" s="12"/>
      <c r="L737" s="10"/>
      <c r="M737" s="10"/>
      <c r="N737" s="13"/>
      <c r="O737" s="10"/>
      <c r="P737" s="10"/>
      <c r="Q737" s="10"/>
      <c r="R737" s="18"/>
      <c r="S737" s="10"/>
      <c r="T737" s="10"/>
      <c r="U737" s="13"/>
      <c r="V737" s="13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3"/>
      <c r="AL737" s="14"/>
      <c r="AM737" s="15"/>
      <c r="AN737" s="15"/>
      <c r="AO737" s="13"/>
      <c r="AP737" s="13"/>
      <c r="AQ737" s="16"/>
      <c r="AR737" s="10"/>
      <c r="AS737" s="10"/>
      <c r="AT737" s="10"/>
      <c r="AU737" s="10"/>
      <c r="AV737" s="11"/>
      <c r="AW737" s="11"/>
      <c r="AX737" s="10"/>
      <c r="AY737" s="11"/>
      <c r="AZ737" s="11"/>
      <c r="BA737" s="11"/>
      <c r="BB737" s="10"/>
      <c r="BC737" s="11"/>
      <c r="BD737" s="11"/>
      <c r="BE737" s="11"/>
      <c r="BF737" s="11"/>
      <c r="BG737" s="11"/>
      <c r="BH737" s="11"/>
      <c r="BI737" s="11"/>
      <c r="BJ737" s="11"/>
      <c r="BK737" s="11"/>
      <c r="BL737" s="11"/>
      <c r="BM737" s="11"/>
      <c r="BN737" s="11"/>
      <c r="BO737" s="11"/>
      <c r="BP737" s="11"/>
      <c r="BQ737" s="11"/>
      <c r="BR737" s="11"/>
      <c r="BS737" s="11"/>
      <c r="BT737" s="11"/>
      <c r="BU737" s="11"/>
      <c r="BV737" s="11"/>
      <c r="BW737" s="11"/>
      <c r="BX737" s="11"/>
      <c r="BY737" s="11"/>
      <c r="BZ737" s="11"/>
      <c r="CA737" s="11"/>
      <c r="CB737" s="11"/>
      <c r="CC737" s="17"/>
      <c r="CD737" s="17"/>
      <c r="CE737" s="11"/>
      <c r="CF737" s="13"/>
      <c r="CG737" s="13"/>
      <c r="CH737" s="13"/>
      <c r="CI737" s="13"/>
      <c r="CJ737" s="13"/>
    </row>
    <row r="738" spans="1:88" s="9" customFormat="1" x14ac:dyDescent="0.25">
      <c r="A738" s="10"/>
      <c r="B738" s="10"/>
      <c r="C738" s="10"/>
      <c r="D738" s="10"/>
      <c r="E738" s="11"/>
      <c r="F738" s="10"/>
      <c r="G738" s="10"/>
      <c r="H738" s="10"/>
      <c r="I738" s="10"/>
      <c r="J738" s="10"/>
      <c r="K738" s="12"/>
      <c r="L738" s="10"/>
      <c r="M738" s="10"/>
      <c r="N738" s="13"/>
      <c r="O738" s="10"/>
      <c r="P738" s="10"/>
      <c r="Q738" s="10"/>
      <c r="R738" s="18"/>
      <c r="S738" s="10"/>
      <c r="T738" s="10"/>
      <c r="U738" s="13"/>
      <c r="V738" s="13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3"/>
      <c r="AL738" s="14"/>
      <c r="AM738" s="15"/>
      <c r="AN738" s="15"/>
      <c r="AO738" s="13"/>
      <c r="AP738" s="13"/>
      <c r="AQ738" s="16"/>
      <c r="AR738" s="10"/>
      <c r="AS738" s="10"/>
      <c r="AT738" s="10"/>
      <c r="AU738" s="10"/>
      <c r="AV738" s="11"/>
      <c r="AW738" s="11"/>
      <c r="AX738" s="10"/>
      <c r="AY738" s="11"/>
      <c r="AZ738" s="11"/>
      <c r="BA738" s="11"/>
      <c r="BB738" s="10"/>
      <c r="BC738" s="11"/>
      <c r="BD738" s="11"/>
      <c r="BE738" s="11"/>
      <c r="BF738" s="11"/>
      <c r="BG738" s="11"/>
      <c r="BH738" s="11"/>
      <c r="BI738" s="11"/>
      <c r="BJ738" s="11"/>
      <c r="BK738" s="11"/>
      <c r="BL738" s="11"/>
      <c r="BM738" s="11"/>
      <c r="BN738" s="11"/>
      <c r="BO738" s="11"/>
      <c r="BP738" s="11"/>
      <c r="BQ738" s="11"/>
      <c r="BR738" s="11"/>
      <c r="BS738" s="11"/>
      <c r="BT738" s="11"/>
      <c r="BU738" s="11"/>
      <c r="BV738" s="11"/>
      <c r="BW738" s="11"/>
      <c r="BX738" s="11"/>
      <c r="BY738" s="11"/>
      <c r="BZ738" s="11"/>
      <c r="CA738" s="11"/>
      <c r="CB738" s="11"/>
      <c r="CC738" s="17"/>
      <c r="CD738" s="17"/>
      <c r="CE738" s="11"/>
      <c r="CF738" s="13"/>
      <c r="CG738" s="13"/>
      <c r="CH738" s="13"/>
      <c r="CI738" s="13"/>
      <c r="CJ738" s="13"/>
    </row>
    <row r="739" spans="1:88" s="9" customFormat="1" x14ac:dyDescent="0.25">
      <c r="A739" s="10"/>
      <c r="B739" s="10"/>
      <c r="C739" s="10"/>
      <c r="D739" s="10"/>
      <c r="E739" s="11"/>
      <c r="F739" s="10"/>
      <c r="G739" s="10"/>
      <c r="H739" s="10"/>
      <c r="I739" s="10"/>
      <c r="J739" s="10"/>
      <c r="K739" s="12"/>
      <c r="L739" s="10"/>
      <c r="M739" s="10"/>
      <c r="N739" s="13"/>
      <c r="O739" s="10"/>
      <c r="P739" s="10"/>
      <c r="Q739" s="10"/>
      <c r="R739" s="18"/>
      <c r="S739" s="10"/>
      <c r="T739" s="10"/>
      <c r="U739" s="13"/>
      <c r="V739" s="13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3"/>
      <c r="AL739" s="14"/>
      <c r="AM739" s="15"/>
      <c r="AN739" s="15"/>
      <c r="AO739" s="13"/>
      <c r="AP739" s="13"/>
      <c r="AQ739" s="16"/>
      <c r="AR739" s="10"/>
      <c r="AS739" s="10"/>
      <c r="AT739" s="10"/>
      <c r="AU739" s="10"/>
      <c r="AV739" s="11"/>
      <c r="AW739" s="11"/>
      <c r="AX739" s="10"/>
      <c r="AY739" s="11"/>
      <c r="AZ739" s="11"/>
      <c r="BA739" s="11"/>
      <c r="BB739" s="10"/>
      <c r="BC739" s="11"/>
      <c r="BD739" s="11"/>
      <c r="BE739" s="11"/>
      <c r="BF739" s="11"/>
      <c r="BG739" s="11"/>
      <c r="BH739" s="11"/>
      <c r="BI739" s="11"/>
      <c r="BJ739" s="11"/>
      <c r="BK739" s="11"/>
      <c r="BL739" s="11"/>
      <c r="BM739" s="11"/>
      <c r="BN739" s="11"/>
      <c r="BO739" s="11"/>
      <c r="BP739" s="11"/>
      <c r="BQ739" s="11"/>
      <c r="BR739" s="11"/>
      <c r="BS739" s="11"/>
      <c r="BT739" s="11"/>
      <c r="BU739" s="11"/>
      <c r="BV739" s="11"/>
      <c r="BW739" s="11"/>
      <c r="BX739" s="11"/>
      <c r="BY739" s="11"/>
      <c r="BZ739" s="11"/>
      <c r="CA739" s="11"/>
      <c r="CB739" s="11"/>
      <c r="CC739" s="17"/>
      <c r="CD739" s="17"/>
      <c r="CE739" s="11"/>
      <c r="CF739" s="13"/>
      <c r="CG739" s="13"/>
      <c r="CH739" s="13"/>
      <c r="CI739" s="13"/>
      <c r="CJ739" s="13"/>
    </row>
    <row r="740" spans="1:88" s="9" customFormat="1" x14ac:dyDescent="0.25">
      <c r="A740" s="10"/>
      <c r="B740" s="10"/>
      <c r="C740" s="10"/>
      <c r="D740" s="10"/>
      <c r="E740" s="11"/>
      <c r="F740" s="10"/>
      <c r="G740" s="10"/>
      <c r="H740" s="10"/>
      <c r="I740" s="10"/>
      <c r="J740" s="10"/>
      <c r="K740" s="12"/>
      <c r="L740" s="10"/>
      <c r="M740" s="10"/>
      <c r="N740" s="13"/>
      <c r="O740" s="10"/>
      <c r="P740" s="10"/>
      <c r="Q740" s="10"/>
      <c r="R740" s="18"/>
      <c r="S740" s="10"/>
      <c r="T740" s="10"/>
      <c r="U740" s="13"/>
      <c r="V740" s="13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3"/>
      <c r="AL740" s="14"/>
      <c r="AM740" s="15"/>
      <c r="AN740" s="15"/>
      <c r="AO740" s="13"/>
      <c r="AP740" s="13"/>
      <c r="AQ740" s="16"/>
      <c r="AR740" s="10"/>
      <c r="AS740" s="10"/>
      <c r="AT740" s="10"/>
      <c r="AU740" s="10"/>
      <c r="AV740" s="11"/>
      <c r="AW740" s="11"/>
      <c r="AX740" s="10"/>
      <c r="AY740" s="11"/>
      <c r="AZ740" s="11"/>
      <c r="BA740" s="11"/>
      <c r="BB740" s="10"/>
      <c r="BC740" s="11"/>
      <c r="BD740" s="11"/>
      <c r="BE740" s="11"/>
      <c r="BF740" s="11"/>
      <c r="BG740" s="11"/>
      <c r="BH740" s="11"/>
      <c r="BI740" s="11"/>
      <c r="BJ740" s="11"/>
      <c r="BK740" s="11"/>
      <c r="BL740" s="11"/>
      <c r="BM740" s="11"/>
      <c r="BN740" s="11"/>
      <c r="BO740" s="11"/>
      <c r="BP740" s="11"/>
      <c r="BQ740" s="11"/>
      <c r="BR740" s="11"/>
      <c r="BS740" s="11"/>
      <c r="BT740" s="11"/>
      <c r="BU740" s="11"/>
      <c r="BV740" s="11"/>
      <c r="BW740" s="11"/>
      <c r="BX740" s="11"/>
      <c r="BY740" s="11"/>
      <c r="BZ740" s="11"/>
      <c r="CA740" s="11"/>
      <c r="CB740" s="11"/>
      <c r="CC740" s="17"/>
      <c r="CD740" s="17"/>
      <c r="CE740" s="11"/>
      <c r="CF740" s="13"/>
      <c r="CG740" s="13"/>
      <c r="CH740" s="13"/>
      <c r="CI740" s="13"/>
      <c r="CJ740" s="13"/>
    </row>
    <row r="741" spans="1:88" s="9" customFormat="1" x14ac:dyDescent="0.25">
      <c r="A741" s="10"/>
      <c r="B741" s="10"/>
      <c r="C741" s="10"/>
      <c r="D741" s="10"/>
      <c r="E741" s="11"/>
      <c r="F741" s="10"/>
      <c r="G741" s="10"/>
      <c r="H741" s="10"/>
      <c r="I741" s="10"/>
      <c r="J741" s="10"/>
      <c r="K741" s="12"/>
      <c r="L741" s="10"/>
      <c r="M741" s="10"/>
      <c r="N741" s="13"/>
      <c r="O741" s="10"/>
      <c r="P741" s="10"/>
      <c r="Q741" s="10"/>
      <c r="R741" s="18"/>
      <c r="S741" s="10"/>
      <c r="T741" s="10"/>
      <c r="U741" s="13"/>
      <c r="V741" s="13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3"/>
      <c r="AL741" s="14"/>
      <c r="AM741" s="15"/>
      <c r="AN741" s="15"/>
      <c r="AO741" s="13"/>
      <c r="AP741" s="13"/>
      <c r="AQ741" s="16"/>
      <c r="AR741" s="10"/>
      <c r="AS741" s="10"/>
      <c r="AT741" s="10"/>
      <c r="AU741" s="10"/>
      <c r="AV741" s="11"/>
      <c r="AW741" s="11"/>
      <c r="AX741" s="10"/>
      <c r="AY741" s="11"/>
      <c r="AZ741" s="11"/>
      <c r="BA741" s="11"/>
      <c r="BB741" s="10"/>
      <c r="BC741" s="11"/>
      <c r="BD741" s="11"/>
      <c r="BE741" s="11"/>
      <c r="BF741" s="11"/>
      <c r="BG741" s="11"/>
      <c r="BH741" s="11"/>
      <c r="BI741" s="11"/>
      <c r="BJ741" s="11"/>
      <c r="BK741" s="11"/>
      <c r="BL741" s="11"/>
      <c r="BM741" s="11"/>
      <c r="BN741" s="11"/>
      <c r="BO741" s="11"/>
      <c r="BP741" s="11"/>
      <c r="BQ741" s="11"/>
      <c r="BR741" s="11"/>
      <c r="BS741" s="11"/>
      <c r="BT741" s="11"/>
      <c r="BU741" s="11"/>
      <c r="BV741" s="11"/>
      <c r="BW741" s="11"/>
      <c r="BX741" s="11"/>
      <c r="BY741" s="11"/>
      <c r="BZ741" s="11"/>
      <c r="CA741" s="11"/>
      <c r="CB741" s="11"/>
      <c r="CC741" s="17"/>
      <c r="CD741" s="17"/>
      <c r="CE741" s="11"/>
      <c r="CF741" s="13"/>
      <c r="CG741" s="13"/>
      <c r="CH741" s="13"/>
      <c r="CI741" s="13"/>
      <c r="CJ741" s="13"/>
    </row>
    <row r="742" spans="1:88" s="9" customFormat="1" x14ac:dyDescent="0.25">
      <c r="A742" s="10"/>
      <c r="B742" s="10"/>
      <c r="C742" s="10"/>
      <c r="D742" s="10"/>
      <c r="E742" s="11"/>
      <c r="F742" s="10"/>
      <c r="G742" s="10"/>
      <c r="H742" s="10"/>
      <c r="I742" s="10"/>
      <c r="J742" s="10"/>
      <c r="K742" s="12"/>
      <c r="L742" s="10"/>
      <c r="M742" s="10"/>
      <c r="N742" s="13"/>
      <c r="O742" s="10"/>
      <c r="P742" s="10"/>
      <c r="Q742" s="10"/>
      <c r="R742" s="18"/>
      <c r="S742" s="10"/>
      <c r="T742" s="10"/>
      <c r="U742" s="13"/>
      <c r="V742" s="13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3"/>
      <c r="AL742" s="14"/>
      <c r="AM742" s="15"/>
      <c r="AN742" s="15"/>
      <c r="AO742" s="13"/>
      <c r="AP742" s="13"/>
      <c r="AQ742" s="16"/>
      <c r="AR742" s="10"/>
      <c r="AS742" s="10"/>
      <c r="AT742" s="10"/>
      <c r="AU742" s="10"/>
      <c r="AV742" s="11"/>
      <c r="AW742" s="11"/>
      <c r="AX742" s="10"/>
      <c r="AY742" s="11"/>
      <c r="AZ742" s="11"/>
      <c r="BA742" s="11"/>
      <c r="BB742" s="10"/>
      <c r="BC742" s="11"/>
      <c r="BD742" s="11"/>
      <c r="BE742" s="11"/>
      <c r="BF742" s="11"/>
      <c r="BG742" s="11"/>
      <c r="BH742" s="11"/>
      <c r="BI742" s="11"/>
      <c r="BJ742" s="11"/>
      <c r="BK742" s="11"/>
      <c r="BL742" s="11"/>
      <c r="BM742" s="11"/>
      <c r="BN742" s="11"/>
      <c r="BO742" s="11"/>
      <c r="BP742" s="11"/>
      <c r="BQ742" s="11"/>
      <c r="BR742" s="11"/>
      <c r="BS742" s="11"/>
      <c r="BT742" s="11"/>
      <c r="BU742" s="11"/>
      <c r="BV742" s="11"/>
      <c r="BW742" s="11"/>
      <c r="BX742" s="11"/>
      <c r="BY742" s="11"/>
      <c r="BZ742" s="11"/>
      <c r="CA742" s="11"/>
      <c r="CB742" s="11"/>
      <c r="CC742" s="17"/>
      <c r="CD742" s="17"/>
      <c r="CE742" s="11"/>
      <c r="CF742" s="13"/>
      <c r="CG742" s="13"/>
      <c r="CH742" s="13"/>
      <c r="CI742" s="13"/>
      <c r="CJ742" s="13"/>
    </row>
    <row r="743" spans="1:88" s="9" customFormat="1" x14ac:dyDescent="0.25">
      <c r="A743" s="10"/>
      <c r="B743" s="10"/>
      <c r="C743" s="10"/>
      <c r="D743" s="10"/>
      <c r="E743" s="11"/>
      <c r="F743" s="10"/>
      <c r="G743" s="10"/>
      <c r="H743" s="10"/>
      <c r="I743" s="10"/>
      <c r="J743" s="10"/>
      <c r="K743" s="12"/>
      <c r="L743" s="10"/>
      <c r="M743" s="10"/>
      <c r="N743" s="13"/>
      <c r="O743" s="10"/>
      <c r="P743" s="10"/>
      <c r="Q743" s="10"/>
      <c r="R743" s="18"/>
      <c r="S743" s="10"/>
      <c r="T743" s="10"/>
      <c r="U743" s="13"/>
      <c r="V743" s="13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3"/>
      <c r="AL743" s="14"/>
      <c r="AM743" s="15"/>
      <c r="AN743" s="15"/>
      <c r="AO743" s="13"/>
      <c r="AP743" s="13"/>
      <c r="AQ743" s="16"/>
      <c r="AR743" s="10"/>
      <c r="AS743" s="10"/>
      <c r="AT743" s="10"/>
      <c r="AU743" s="10"/>
      <c r="AV743" s="11"/>
      <c r="AW743" s="11"/>
      <c r="AX743" s="10"/>
      <c r="AY743" s="11"/>
      <c r="AZ743" s="11"/>
      <c r="BA743" s="11"/>
      <c r="BB743" s="10"/>
      <c r="BC743" s="11"/>
      <c r="BD743" s="11"/>
      <c r="BE743" s="11"/>
      <c r="BF743" s="11"/>
      <c r="BG743" s="11"/>
      <c r="BH743" s="11"/>
      <c r="BI743" s="11"/>
      <c r="BJ743" s="11"/>
      <c r="BK743" s="11"/>
      <c r="BL743" s="11"/>
      <c r="BM743" s="11"/>
      <c r="BN743" s="11"/>
      <c r="BO743" s="11"/>
      <c r="BP743" s="11"/>
      <c r="BQ743" s="11"/>
      <c r="BR743" s="11"/>
      <c r="BS743" s="11"/>
      <c r="BT743" s="11"/>
      <c r="BU743" s="11"/>
      <c r="BV743" s="11"/>
      <c r="BW743" s="11"/>
      <c r="BX743" s="11"/>
      <c r="BY743" s="11"/>
      <c r="BZ743" s="11"/>
      <c r="CA743" s="11"/>
      <c r="CB743" s="11"/>
      <c r="CC743" s="17"/>
      <c r="CD743" s="17"/>
      <c r="CE743" s="11"/>
      <c r="CF743" s="13"/>
      <c r="CG743" s="13"/>
      <c r="CH743" s="13"/>
      <c r="CI743" s="13"/>
      <c r="CJ743" s="13"/>
    </row>
    <row r="744" spans="1:88" s="9" customFormat="1" x14ac:dyDescent="0.25">
      <c r="A744" s="10"/>
      <c r="B744" s="10"/>
      <c r="C744" s="10"/>
      <c r="D744" s="10"/>
      <c r="E744" s="11"/>
      <c r="F744" s="10"/>
      <c r="G744" s="10"/>
      <c r="H744" s="10"/>
      <c r="I744" s="10"/>
      <c r="J744" s="10"/>
      <c r="K744" s="12"/>
      <c r="L744" s="10"/>
      <c r="M744" s="10"/>
      <c r="N744" s="13"/>
      <c r="O744" s="10"/>
      <c r="P744" s="10"/>
      <c r="Q744" s="10"/>
      <c r="R744" s="18"/>
      <c r="S744" s="10"/>
      <c r="T744" s="10"/>
      <c r="U744" s="13"/>
      <c r="V744" s="13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3"/>
      <c r="AL744" s="14"/>
      <c r="AM744" s="15"/>
      <c r="AN744" s="15"/>
      <c r="AO744" s="13"/>
      <c r="AP744" s="13"/>
      <c r="AQ744" s="16"/>
      <c r="AR744" s="10"/>
      <c r="AS744" s="10"/>
      <c r="AT744" s="10"/>
      <c r="AU744" s="10"/>
      <c r="AV744" s="11"/>
      <c r="AW744" s="11"/>
      <c r="AX744" s="10"/>
      <c r="AY744" s="11"/>
      <c r="AZ744" s="11"/>
      <c r="BA744" s="11"/>
      <c r="BB744" s="10"/>
      <c r="BC744" s="11"/>
      <c r="BD744" s="11"/>
      <c r="BE744" s="11"/>
      <c r="BF744" s="11"/>
      <c r="BG744" s="11"/>
      <c r="BH744" s="11"/>
      <c r="BI744" s="11"/>
      <c r="BJ744" s="11"/>
      <c r="BK744" s="11"/>
      <c r="BL744" s="11"/>
      <c r="BM744" s="11"/>
      <c r="BN744" s="11"/>
      <c r="BO744" s="11"/>
      <c r="BP744" s="11"/>
      <c r="BQ744" s="11"/>
      <c r="BR744" s="11"/>
      <c r="BS744" s="11"/>
      <c r="BT744" s="11"/>
      <c r="BU744" s="11"/>
      <c r="BV744" s="11"/>
      <c r="BW744" s="11"/>
      <c r="BX744" s="11"/>
      <c r="BY744" s="11"/>
      <c r="BZ744" s="11"/>
      <c r="CA744" s="11"/>
      <c r="CB744" s="11"/>
      <c r="CC744" s="17"/>
      <c r="CD744" s="17"/>
      <c r="CE744" s="11"/>
      <c r="CF744" s="13"/>
      <c r="CG744" s="13"/>
      <c r="CH744" s="13"/>
      <c r="CI744" s="13"/>
      <c r="CJ744" s="13"/>
    </row>
    <row r="745" spans="1:88" s="9" customFormat="1" x14ac:dyDescent="0.25">
      <c r="A745" s="10"/>
      <c r="B745" s="10"/>
      <c r="C745" s="10"/>
      <c r="D745" s="10"/>
      <c r="E745" s="11"/>
      <c r="F745" s="10"/>
      <c r="G745" s="10"/>
      <c r="H745" s="10"/>
      <c r="I745" s="10"/>
      <c r="J745" s="10"/>
      <c r="K745" s="12"/>
      <c r="L745" s="10"/>
      <c r="M745" s="10"/>
      <c r="N745" s="13"/>
      <c r="O745" s="10"/>
      <c r="P745" s="10"/>
      <c r="Q745" s="10"/>
      <c r="R745" s="18"/>
      <c r="S745" s="10"/>
      <c r="T745" s="10"/>
      <c r="U745" s="13"/>
      <c r="V745" s="13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3"/>
      <c r="AL745" s="14"/>
      <c r="AM745" s="15"/>
      <c r="AN745" s="15"/>
      <c r="AO745" s="13"/>
      <c r="AP745" s="13"/>
      <c r="AQ745" s="16"/>
      <c r="AR745" s="10"/>
      <c r="AS745" s="10"/>
      <c r="AT745" s="10"/>
      <c r="AU745" s="10"/>
      <c r="AV745" s="11"/>
      <c r="AW745" s="11"/>
      <c r="AX745" s="10"/>
      <c r="AY745" s="11"/>
      <c r="AZ745" s="11"/>
      <c r="BA745" s="11"/>
      <c r="BB745" s="10"/>
      <c r="BC745" s="11"/>
      <c r="BD745" s="11"/>
      <c r="BE745" s="11"/>
      <c r="BF745" s="11"/>
      <c r="BG745" s="11"/>
      <c r="BH745" s="11"/>
      <c r="BI745" s="11"/>
      <c r="BJ745" s="11"/>
      <c r="BK745" s="11"/>
      <c r="BL745" s="11"/>
      <c r="BM745" s="11"/>
      <c r="BN745" s="11"/>
      <c r="BO745" s="11"/>
      <c r="BP745" s="11"/>
      <c r="BQ745" s="11"/>
      <c r="BR745" s="11"/>
      <c r="BS745" s="11"/>
      <c r="BT745" s="11"/>
      <c r="BU745" s="11"/>
      <c r="BV745" s="11"/>
      <c r="BW745" s="11"/>
      <c r="BX745" s="11"/>
      <c r="BY745" s="11"/>
      <c r="BZ745" s="11"/>
      <c r="CA745" s="11"/>
      <c r="CB745" s="11"/>
      <c r="CC745" s="17"/>
      <c r="CD745" s="17"/>
      <c r="CE745" s="11"/>
      <c r="CF745" s="13"/>
      <c r="CG745" s="13"/>
      <c r="CH745" s="13"/>
      <c r="CI745" s="13"/>
      <c r="CJ745" s="13"/>
    </row>
    <row r="746" spans="1:88" s="9" customFormat="1" x14ac:dyDescent="0.25">
      <c r="A746" s="10"/>
      <c r="B746" s="10"/>
      <c r="C746" s="10"/>
      <c r="D746" s="10"/>
      <c r="E746" s="11"/>
      <c r="F746" s="10"/>
      <c r="G746" s="10"/>
      <c r="H746" s="10"/>
      <c r="I746" s="10"/>
      <c r="J746" s="10"/>
      <c r="K746" s="12"/>
      <c r="L746" s="10"/>
      <c r="M746" s="10"/>
      <c r="N746" s="13"/>
      <c r="O746" s="10"/>
      <c r="P746" s="10"/>
      <c r="Q746" s="10"/>
      <c r="R746" s="18"/>
      <c r="S746" s="10"/>
      <c r="T746" s="10"/>
      <c r="U746" s="13"/>
      <c r="V746" s="13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3"/>
      <c r="AL746" s="14"/>
      <c r="AM746" s="15"/>
      <c r="AN746" s="15"/>
      <c r="AO746" s="13"/>
      <c r="AP746" s="13"/>
      <c r="AQ746" s="16"/>
      <c r="AR746" s="10"/>
      <c r="AS746" s="10"/>
      <c r="AT746" s="10"/>
      <c r="AU746" s="10"/>
      <c r="AV746" s="11"/>
      <c r="AW746" s="11"/>
      <c r="AX746" s="10"/>
      <c r="AY746" s="11"/>
      <c r="AZ746" s="11"/>
      <c r="BA746" s="11"/>
      <c r="BB746" s="10"/>
      <c r="BC746" s="11"/>
      <c r="BD746" s="11"/>
      <c r="BE746" s="11"/>
      <c r="BF746" s="11"/>
      <c r="BG746" s="11"/>
      <c r="BH746" s="11"/>
      <c r="BI746" s="11"/>
      <c r="BJ746" s="11"/>
      <c r="BK746" s="11"/>
      <c r="BL746" s="11"/>
      <c r="BM746" s="11"/>
      <c r="BN746" s="11"/>
      <c r="BO746" s="11"/>
      <c r="BP746" s="11"/>
      <c r="BQ746" s="11"/>
      <c r="BR746" s="11"/>
      <c r="BS746" s="11"/>
      <c r="BT746" s="11"/>
      <c r="BU746" s="11"/>
      <c r="BV746" s="11"/>
      <c r="BW746" s="11"/>
      <c r="BX746" s="11"/>
      <c r="BY746" s="11"/>
      <c r="BZ746" s="11"/>
      <c r="CA746" s="11"/>
      <c r="CB746" s="11"/>
      <c r="CC746" s="17"/>
      <c r="CD746" s="17"/>
      <c r="CE746" s="11"/>
      <c r="CF746" s="13"/>
      <c r="CG746" s="13"/>
      <c r="CH746" s="13"/>
      <c r="CI746" s="13"/>
      <c r="CJ746" s="13"/>
    </row>
    <row r="747" spans="1:88" s="9" customFormat="1" x14ac:dyDescent="0.25">
      <c r="A747" s="10"/>
      <c r="B747" s="10"/>
      <c r="C747" s="10"/>
      <c r="D747" s="10"/>
      <c r="E747" s="11"/>
      <c r="F747" s="10"/>
      <c r="G747" s="10"/>
      <c r="H747" s="10"/>
      <c r="I747" s="10"/>
      <c r="J747" s="10"/>
      <c r="K747" s="12"/>
      <c r="L747" s="10"/>
      <c r="M747" s="10"/>
      <c r="N747" s="13"/>
      <c r="O747" s="10"/>
      <c r="P747" s="10"/>
      <c r="Q747" s="10"/>
      <c r="R747" s="18"/>
      <c r="S747" s="10"/>
      <c r="T747" s="10"/>
      <c r="U747" s="13"/>
      <c r="V747" s="13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3"/>
      <c r="AL747" s="14"/>
      <c r="AM747" s="15"/>
      <c r="AN747" s="15"/>
      <c r="AO747" s="13"/>
      <c r="AP747" s="13"/>
      <c r="AQ747" s="16"/>
      <c r="AR747" s="10"/>
      <c r="AS747" s="10"/>
      <c r="AT747" s="10"/>
      <c r="AU747" s="10"/>
      <c r="AV747" s="11"/>
      <c r="AW747" s="11"/>
      <c r="AX747" s="10"/>
      <c r="AY747" s="11"/>
      <c r="AZ747" s="11"/>
      <c r="BA747" s="11"/>
      <c r="BB747" s="10"/>
      <c r="BC747" s="11"/>
      <c r="BD747" s="11"/>
      <c r="BE747" s="11"/>
      <c r="BF747" s="11"/>
      <c r="BG747" s="11"/>
      <c r="BH747" s="11"/>
      <c r="BI747" s="11"/>
      <c r="BJ747" s="11"/>
      <c r="BK747" s="11"/>
      <c r="BL747" s="11"/>
      <c r="BM747" s="11"/>
      <c r="BN747" s="11"/>
      <c r="BO747" s="11"/>
      <c r="BP747" s="11"/>
      <c r="BQ747" s="11"/>
      <c r="BR747" s="11"/>
      <c r="BS747" s="11"/>
      <c r="BT747" s="11"/>
      <c r="BU747" s="11"/>
      <c r="BV747" s="11"/>
      <c r="BW747" s="11"/>
      <c r="BX747" s="11"/>
      <c r="BY747" s="11"/>
      <c r="BZ747" s="11"/>
      <c r="CA747" s="11"/>
      <c r="CB747" s="11"/>
      <c r="CC747" s="17"/>
      <c r="CD747" s="17"/>
      <c r="CE747" s="11"/>
      <c r="CF747" s="13"/>
      <c r="CG747" s="13"/>
      <c r="CH747" s="13"/>
      <c r="CI747" s="13"/>
      <c r="CJ747" s="13"/>
    </row>
    <row r="748" spans="1:88" s="9" customFormat="1" x14ac:dyDescent="0.25">
      <c r="A748" s="10"/>
      <c r="B748" s="10"/>
      <c r="C748" s="10"/>
      <c r="D748" s="10"/>
      <c r="E748" s="11"/>
      <c r="F748" s="10"/>
      <c r="G748" s="10"/>
      <c r="H748" s="10"/>
      <c r="I748" s="10"/>
      <c r="J748" s="10"/>
      <c r="K748" s="12"/>
      <c r="L748" s="10"/>
      <c r="M748" s="10"/>
      <c r="N748" s="13"/>
      <c r="O748" s="10"/>
      <c r="P748" s="10"/>
      <c r="Q748" s="10"/>
      <c r="R748" s="18"/>
      <c r="S748" s="10"/>
      <c r="T748" s="10"/>
      <c r="U748" s="13"/>
      <c r="V748" s="13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3"/>
      <c r="AL748" s="14"/>
      <c r="AM748" s="15"/>
      <c r="AN748" s="15"/>
      <c r="AO748" s="13"/>
      <c r="AP748" s="13"/>
      <c r="AQ748" s="16"/>
      <c r="AR748" s="10"/>
      <c r="AS748" s="10"/>
      <c r="AT748" s="10"/>
      <c r="AU748" s="10"/>
      <c r="AV748" s="11"/>
      <c r="AW748" s="11"/>
      <c r="AX748" s="10"/>
      <c r="AY748" s="11"/>
      <c r="AZ748" s="11"/>
      <c r="BA748" s="11"/>
      <c r="BB748" s="10"/>
      <c r="BC748" s="11"/>
      <c r="BD748" s="11"/>
      <c r="BE748" s="11"/>
      <c r="BF748" s="11"/>
      <c r="BG748" s="11"/>
      <c r="BH748" s="11"/>
      <c r="BI748" s="11"/>
      <c r="BJ748" s="11"/>
      <c r="BK748" s="11"/>
      <c r="BL748" s="11"/>
      <c r="BM748" s="11"/>
      <c r="BN748" s="11"/>
      <c r="BO748" s="11"/>
      <c r="BP748" s="11"/>
      <c r="BQ748" s="11"/>
      <c r="BR748" s="11"/>
      <c r="BS748" s="11"/>
      <c r="BT748" s="11"/>
      <c r="BU748" s="11"/>
      <c r="BV748" s="11"/>
      <c r="BW748" s="11"/>
      <c r="BX748" s="11"/>
      <c r="BY748" s="11"/>
      <c r="BZ748" s="11"/>
      <c r="CA748" s="11"/>
      <c r="CB748" s="11"/>
      <c r="CC748" s="17"/>
      <c r="CD748" s="17"/>
      <c r="CE748" s="11"/>
      <c r="CF748" s="13"/>
      <c r="CG748" s="13"/>
      <c r="CH748" s="13"/>
      <c r="CI748" s="13"/>
      <c r="CJ748" s="13"/>
    </row>
    <row r="749" spans="1:88" s="9" customFormat="1" x14ac:dyDescent="0.25">
      <c r="A749" s="10"/>
      <c r="B749" s="10"/>
      <c r="C749" s="10"/>
      <c r="D749" s="10"/>
      <c r="E749" s="11"/>
      <c r="F749" s="10"/>
      <c r="G749" s="10"/>
      <c r="H749" s="10"/>
      <c r="I749" s="10"/>
      <c r="J749" s="10"/>
      <c r="K749" s="12"/>
      <c r="L749" s="10"/>
      <c r="M749" s="10"/>
      <c r="N749" s="13"/>
      <c r="O749" s="10"/>
      <c r="P749" s="10"/>
      <c r="Q749" s="10"/>
      <c r="R749" s="18"/>
      <c r="S749" s="10"/>
      <c r="T749" s="10"/>
      <c r="U749" s="13"/>
      <c r="V749" s="13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3"/>
      <c r="AL749" s="14"/>
      <c r="AM749" s="15"/>
      <c r="AN749" s="15"/>
      <c r="AO749" s="13"/>
      <c r="AP749" s="13"/>
      <c r="AQ749" s="16"/>
      <c r="AR749" s="10"/>
      <c r="AS749" s="10"/>
      <c r="AT749" s="10"/>
      <c r="AU749" s="10"/>
      <c r="AV749" s="11"/>
      <c r="AW749" s="11"/>
      <c r="AX749" s="10"/>
      <c r="AY749" s="11"/>
      <c r="AZ749" s="11"/>
      <c r="BA749" s="11"/>
      <c r="BB749" s="10"/>
      <c r="BC749" s="11"/>
      <c r="BD749" s="11"/>
      <c r="BE749" s="11"/>
      <c r="BF749" s="11"/>
      <c r="BG749" s="11"/>
      <c r="BH749" s="11"/>
      <c r="BI749" s="11"/>
      <c r="BJ749" s="11"/>
      <c r="BK749" s="11"/>
      <c r="BL749" s="11"/>
      <c r="BM749" s="11"/>
      <c r="BN749" s="11"/>
      <c r="BO749" s="11"/>
      <c r="BP749" s="11"/>
      <c r="BQ749" s="11"/>
      <c r="BR749" s="11"/>
      <c r="BS749" s="11"/>
      <c r="BT749" s="11"/>
      <c r="BU749" s="11"/>
      <c r="BV749" s="11"/>
      <c r="BW749" s="11"/>
      <c r="BX749" s="11"/>
      <c r="BY749" s="11"/>
      <c r="BZ749" s="11"/>
      <c r="CA749" s="11"/>
      <c r="CB749" s="11"/>
      <c r="CC749" s="17"/>
      <c r="CD749" s="17"/>
      <c r="CE749" s="11"/>
      <c r="CF749" s="13"/>
      <c r="CG749" s="13"/>
      <c r="CH749" s="13"/>
      <c r="CI749" s="13"/>
      <c r="CJ749" s="13"/>
    </row>
    <row r="750" spans="1:88" s="9" customFormat="1" x14ac:dyDescent="0.25">
      <c r="A750" s="10"/>
      <c r="B750" s="10"/>
      <c r="C750" s="10"/>
      <c r="D750" s="10"/>
      <c r="E750" s="11"/>
      <c r="F750" s="10"/>
      <c r="G750" s="10"/>
      <c r="H750" s="10"/>
      <c r="I750" s="10"/>
      <c r="J750" s="10"/>
      <c r="K750" s="12"/>
      <c r="L750" s="10"/>
      <c r="M750" s="10"/>
      <c r="N750" s="13"/>
      <c r="O750" s="10"/>
      <c r="P750" s="10"/>
      <c r="Q750" s="10"/>
      <c r="R750" s="18"/>
      <c r="S750" s="10"/>
      <c r="T750" s="10"/>
      <c r="U750" s="13"/>
      <c r="V750" s="13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3"/>
      <c r="AL750" s="14"/>
      <c r="AM750" s="15"/>
      <c r="AN750" s="15"/>
      <c r="AO750" s="13"/>
      <c r="AP750" s="13"/>
      <c r="AQ750" s="16"/>
      <c r="AR750" s="10"/>
      <c r="AS750" s="10"/>
      <c r="AT750" s="10"/>
      <c r="AU750" s="10"/>
      <c r="AV750" s="11"/>
      <c r="AW750" s="11"/>
      <c r="AX750" s="10"/>
      <c r="AY750" s="11"/>
      <c r="AZ750" s="11"/>
      <c r="BA750" s="11"/>
      <c r="BB750" s="10"/>
      <c r="BC750" s="11"/>
      <c r="BD750" s="11"/>
      <c r="BE750" s="11"/>
      <c r="BF750" s="11"/>
      <c r="BG750" s="11"/>
      <c r="BH750" s="11"/>
      <c r="BI750" s="11"/>
      <c r="BJ750" s="11"/>
      <c r="BK750" s="11"/>
      <c r="BL750" s="11"/>
      <c r="BM750" s="11"/>
      <c r="BN750" s="11"/>
      <c r="BO750" s="11"/>
      <c r="BP750" s="11"/>
      <c r="BQ750" s="11"/>
      <c r="BR750" s="11"/>
      <c r="BS750" s="11"/>
      <c r="BT750" s="11"/>
      <c r="BU750" s="11"/>
      <c r="BV750" s="11"/>
      <c r="BW750" s="11"/>
      <c r="BX750" s="11"/>
      <c r="BY750" s="11"/>
      <c r="BZ750" s="11"/>
      <c r="CA750" s="11"/>
      <c r="CB750" s="11"/>
      <c r="CC750" s="17"/>
      <c r="CD750" s="17"/>
      <c r="CE750" s="11"/>
      <c r="CF750" s="13"/>
      <c r="CG750" s="13"/>
      <c r="CH750" s="13"/>
      <c r="CI750" s="13"/>
      <c r="CJ750" s="13"/>
    </row>
    <row r="751" spans="1:88" s="9" customFormat="1" x14ac:dyDescent="0.25">
      <c r="A751" s="10"/>
      <c r="B751" s="10"/>
      <c r="C751" s="10"/>
      <c r="D751" s="10"/>
      <c r="E751" s="11"/>
      <c r="F751" s="10"/>
      <c r="G751" s="10"/>
      <c r="H751" s="10"/>
      <c r="I751" s="10"/>
      <c r="J751" s="10"/>
      <c r="K751" s="12"/>
      <c r="L751" s="10"/>
      <c r="M751" s="10"/>
      <c r="N751" s="13"/>
      <c r="O751" s="10"/>
      <c r="P751" s="10"/>
      <c r="Q751" s="10"/>
      <c r="R751" s="18"/>
      <c r="S751" s="10"/>
      <c r="T751" s="10"/>
      <c r="U751" s="13"/>
      <c r="V751" s="13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3"/>
      <c r="AL751" s="14"/>
      <c r="AM751" s="15"/>
      <c r="AN751" s="15"/>
      <c r="AO751" s="13"/>
      <c r="AP751" s="13"/>
      <c r="AQ751" s="16"/>
      <c r="AR751" s="10"/>
      <c r="AS751" s="10"/>
      <c r="AT751" s="10"/>
      <c r="AU751" s="10"/>
      <c r="AV751" s="11"/>
      <c r="AW751" s="11"/>
      <c r="AX751" s="10"/>
      <c r="AY751" s="11"/>
      <c r="AZ751" s="11"/>
      <c r="BA751" s="11"/>
      <c r="BB751" s="10"/>
      <c r="BC751" s="11"/>
      <c r="BD751" s="11"/>
      <c r="BE751" s="11"/>
      <c r="BF751" s="11"/>
      <c r="BG751" s="11"/>
      <c r="BH751" s="11"/>
      <c r="BI751" s="11"/>
      <c r="BJ751" s="11"/>
      <c r="BK751" s="11"/>
      <c r="BL751" s="11"/>
      <c r="BM751" s="11"/>
      <c r="BN751" s="11"/>
      <c r="BO751" s="11"/>
      <c r="BP751" s="11"/>
      <c r="BQ751" s="11"/>
      <c r="BR751" s="11"/>
      <c r="BS751" s="11"/>
      <c r="BT751" s="11"/>
      <c r="BU751" s="11"/>
      <c r="BV751" s="11"/>
      <c r="BW751" s="11"/>
      <c r="BX751" s="11"/>
      <c r="BY751" s="11"/>
      <c r="BZ751" s="11"/>
      <c r="CA751" s="11"/>
      <c r="CB751" s="11"/>
      <c r="CC751" s="17"/>
      <c r="CD751" s="17"/>
      <c r="CE751" s="11"/>
      <c r="CF751" s="13"/>
      <c r="CG751" s="13"/>
      <c r="CH751" s="13"/>
      <c r="CI751" s="13"/>
      <c r="CJ751" s="13"/>
    </row>
    <row r="752" spans="1:88" s="9" customFormat="1" x14ac:dyDescent="0.25">
      <c r="A752" s="10"/>
      <c r="B752" s="10"/>
      <c r="C752" s="10"/>
      <c r="D752" s="10"/>
      <c r="E752" s="11"/>
      <c r="F752" s="10"/>
      <c r="G752" s="10"/>
      <c r="H752" s="10"/>
      <c r="I752" s="10"/>
      <c r="J752" s="10"/>
      <c r="K752" s="12"/>
      <c r="L752" s="10"/>
      <c r="M752" s="10"/>
      <c r="N752" s="13"/>
      <c r="O752" s="10"/>
      <c r="P752" s="10"/>
      <c r="Q752" s="10"/>
      <c r="R752" s="18"/>
      <c r="S752" s="10"/>
      <c r="T752" s="10"/>
      <c r="U752" s="13"/>
      <c r="V752" s="13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3"/>
      <c r="AL752" s="14"/>
      <c r="AM752" s="15"/>
      <c r="AN752" s="15"/>
      <c r="AO752" s="13"/>
      <c r="AP752" s="13"/>
      <c r="AQ752" s="16"/>
      <c r="AR752" s="10"/>
      <c r="AS752" s="10"/>
      <c r="AT752" s="10"/>
      <c r="AU752" s="10"/>
      <c r="AV752" s="11"/>
      <c r="AW752" s="11"/>
      <c r="AX752" s="10"/>
      <c r="AY752" s="11"/>
      <c r="AZ752" s="11"/>
      <c r="BA752" s="11"/>
      <c r="BB752" s="10"/>
      <c r="BC752" s="11"/>
      <c r="BD752" s="11"/>
      <c r="BE752" s="11"/>
      <c r="BF752" s="11"/>
      <c r="BG752" s="11"/>
      <c r="BH752" s="11"/>
      <c r="BI752" s="11"/>
      <c r="BJ752" s="11"/>
      <c r="BK752" s="11"/>
      <c r="BL752" s="11"/>
      <c r="BM752" s="11"/>
      <c r="BN752" s="11"/>
      <c r="BO752" s="11"/>
      <c r="BP752" s="11"/>
      <c r="BQ752" s="11"/>
      <c r="BR752" s="11"/>
      <c r="BS752" s="11"/>
      <c r="BT752" s="11"/>
      <c r="BU752" s="11"/>
      <c r="BV752" s="11"/>
      <c r="BW752" s="11"/>
      <c r="BX752" s="11"/>
      <c r="BY752" s="11"/>
      <c r="BZ752" s="11"/>
      <c r="CA752" s="11"/>
      <c r="CB752" s="11"/>
      <c r="CC752" s="17"/>
      <c r="CD752" s="17"/>
      <c r="CE752" s="11"/>
      <c r="CF752" s="13"/>
      <c r="CG752" s="13"/>
      <c r="CH752" s="13"/>
      <c r="CI752" s="13"/>
      <c r="CJ752" s="13"/>
    </row>
    <row r="753" spans="1:88" s="9" customFormat="1" x14ac:dyDescent="0.25">
      <c r="A753" s="10"/>
      <c r="B753" s="10"/>
      <c r="C753" s="10"/>
      <c r="D753" s="10"/>
      <c r="E753" s="11"/>
      <c r="F753" s="10"/>
      <c r="G753" s="10"/>
      <c r="H753" s="10"/>
      <c r="I753" s="10"/>
      <c r="J753" s="10"/>
      <c r="K753" s="12"/>
      <c r="L753" s="10"/>
      <c r="M753" s="10"/>
      <c r="N753" s="13"/>
      <c r="O753" s="10"/>
      <c r="P753" s="10"/>
      <c r="Q753" s="10"/>
      <c r="R753" s="18"/>
      <c r="S753" s="10"/>
      <c r="T753" s="10"/>
      <c r="U753" s="13"/>
      <c r="V753" s="13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3"/>
      <c r="AL753" s="14"/>
      <c r="AM753" s="15"/>
      <c r="AN753" s="15"/>
      <c r="AO753" s="13"/>
      <c r="AP753" s="13"/>
      <c r="AQ753" s="16"/>
      <c r="AR753" s="10"/>
      <c r="AS753" s="10"/>
      <c r="AT753" s="10"/>
      <c r="AU753" s="10"/>
      <c r="AV753" s="11"/>
      <c r="AW753" s="11"/>
      <c r="AX753" s="10"/>
      <c r="AY753" s="11"/>
      <c r="AZ753" s="11"/>
      <c r="BA753" s="11"/>
      <c r="BB753" s="10"/>
      <c r="BC753" s="11"/>
      <c r="BD753" s="11"/>
      <c r="BE753" s="11"/>
      <c r="BF753" s="11"/>
      <c r="BG753" s="11"/>
      <c r="BH753" s="11"/>
      <c r="BI753" s="11"/>
      <c r="BJ753" s="11"/>
      <c r="BK753" s="11"/>
      <c r="BL753" s="11"/>
      <c r="BM753" s="11"/>
      <c r="BN753" s="11"/>
      <c r="BO753" s="11"/>
      <c r="BP753" s="11"/>
      <c r="BQ753" s="11"/>
      <c r="BR753" s="11"/>
      <c r="BS753" s="11"/>
      <c r="BT753" s="11"/>
      <c r="BU753" s="11"/>
      <c r="BV753" s="11"/>
      <c r="BW753" s="11"/>
      <c r="BX753" s="11"/>
      <c r="BY753" s="11"/>
      <c r="BZ753" s="11"/>
      <c r="CA753" s="11"/>
      <c r="CB753" s="11"/>
      <c r="CC753" s="17"/>
      <c r="CD753" s="17"/>
      <c r="CE753" s="11"/>
      <c r="CF753" s="13"/>
      <c r="CG753" s="13"/>
      <c r="CH753" s="13"/>
      <c r="CI753" s="13"/>
      <c r="CJ753" s="13"/>
    </row>
    <row r="754" spans="1:88" s="9" customFormat="1" x14ac:dyDescent="0.25">
      <c r="A754" s="10"/>
      <c r="B754" s="10"/>
      <c r="C754" s="10"/>
      <c r="D754" s="10"/>
      <c r="E754" s="11"/>
      <c r="F754" s="10"/>
      <c r="G754" s="10"/>
      <c r="H754" s="10"/>
      <c r="I754" s="10"/>
      <c r="J754" s="10"/>
      <c r="K754" s="12"/>
      <c r="L754" s="10"/>
      <c r="M754" s="10"/>
      <c r="N754" s="13"/>
      <c r="O754" s="10"/>
      <c r="P754" s="10"/>
      <c r="Q754" s="10"/>
      <c r="R754" s="18"/>
      <c r="S754" s="10"/>
      <c r="T754" s="10"/>
      <c r="U754" s="13"/>
      <c r="V754" s="13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3"/>
      <c r="AL754" s="14"/>
      <c r="AM754" s="15"/>
      <c r="AN754" s="15"/>
      <c r="AO754" s="13"/>
      <c r="AP754" s="13"/>
      <c r="AQ754" s="16"/>
      <c r="AR754" s="10"/>
      <c r="AS754" s="10"/>
      <c r="AT754" s="10"/>
      <c r="AU754" s="10"/>
      <c r="AV754" s="11"/>
      <c r="AW754" s="11"/>
      <c r="AX754" s="10"/>
      <c r="AY754" s="11"/>
      <c r="AZ754" s="11"/>
      <c r="BA754" s="11"/>
      <c r="BB754" s="10"/>
      <c r="BC754" s="11"/>
      <c r="BD754" s="11"/>
      <c r="BE754" s="11"/>
      <c r="BF754" s="11"/>
      <c r="BG754" s="11"/>
      <c r="BH754" s="11"/>
      <c r="BI754" s="11"/>
      <c r="BJ754" s="11"/>
      <c r="BK754" s="11"/>
      <c r="BL754" s="11"/>
      <c r="BM754" s="11"/>
      <c r="BN754" s="11"/>
      <c r="BO754" s="11"/>
      <c r="BP754" s="11"/>
      <c r="BQ754" s="11"/>
      <c r="BR754" s="11"/>
      <c r="BS754" s="11"/>
      <c r="BT754" s="11"/>
      <c r="BU754" s="11"/>
      <c r="BV754" s="11"/>
      <c r="BW754" s="11"/>
      <c r="BX754" s="11"/>
      <c r="BY754" s="11"/>
      <c r="BZ754" s="11"/>
      <c r="CA754" s="11"/>
      <c r="CB754" s="11"/>
      <c r="CC754" s="17"/>
      <c r="CD754" s="17"/>
      <c r="CE754" s="11"/>
      <c r="CF754" s="13"/>
      <c r="CG754" s="13"/>
      <c r="CH754" s="13"/>
      <c r="CI754" s="13"/>
      <c r="CJ754" s="13"/>
    </row>
    <row r="755" spans="1:88" s="9" customFormat="1" x14ac:dyDescent="0.25">
      <c r="A755" s="10"/>
      <c r="B755" s="10"/>
      <c r="C755" s="10"/>
      <c r="D755" s="10"/>
      <c r="E755" s="11"/>
      <c r="F755" s="10"/>
      <c r="G755" s="10"/>
      <c r="H755" s="10"/>
      <c r="I755" s="10"/>
      <c r="J755" s="10"/>
      <c r="K755" s="12"/>
      <c r="L755" s="10"/>
      <c r="M755" s="10"/>
      <c r="N755" s="13"/>
      <c r="O755" s="10"/>
      <c r="P755" s="10"/>
      <c r="Q755" s="10"/>
      <c r="R755" s="18"/>
      <c r="S755" s="10"/>
      <c r="T755" s="10"/>
      <c r="U755" s="13"/>
      <c r="V755" s="13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3"/>
      <c r="AL755" s="14"/>
      <c r="AM755" s="15"/>
      <c r="AN755" s="15"/>
      <c r="AO755" s="13"/>
      <c r="AP755" s="13"/>
      <c r="AQ755" s="16"/>
      <c r="AR755" s="10"/>
      <c r="AS755" s="10"/>
      <c r="AT755" s="10"/>
      <c r="AU755" s="10"/>
      <c r="AV755" s="11"/>
      <c r="AW755" s="11"/>
      <c r="AX755" s="10"/>
      <c r="AY755" s="11"/>
      <c r="AZ755" s="11"/>
      <c r="BA755" s="11"/>
      <c r="BB755" s="10"/>
      <c r="BC755" s="11"/>
      <c r="BD755" s="11"/>
      <c r="BE755" s="11"/>
      <c r="BF755" s="11"/>
      <c r="BG755" s="11"/>
      <c r="BH755" s="11"/>
      <c r="BI755" s="11"/>
      <c r="BJ755" s="11"/>
      <c r="BK755" s="11"/>
      <c r="BL755" s="11"/>
      <c r="BM755" s="11"/>
      <c r="BN755" s="11"/>
      <c r="BO755" s="11"/>
      <c r="BP755" s="11"/>
      <c r="BQ755" s="11"/>
      <c r="BR755" s="11"/>
      <c r="BS755" s="11"/>
      <c r="BT755" s="11"/>
      <c r="BU755" s="11"/>
      <c r="BV755" s="11"/>
      <c r="BW755" s="11"/>
      <c r="BX755" s="11"/>
      <c r="BY755" s="11"/>
      <c r="BZ755" s="11"/>
      <c r="CA755" s="11"/>
      <c r="CB755" s="11"/>
      <c r="CC755" s="17"/>
      <c r="CD755" s="17"/>
      <c r="CE755" s="11"/>
      <c r="CF755" s="13"/>
      <c r="CG755" s="13"/>
      <c r="CH755" s="13"/>
      <c r="CI755" s="13"/>
      <c r="CJ755" s="13"/>
    </row>
    <row r="756" spans="1:88" s="9" customFormat="1" x14ac:dyDescent="0.25">
      <c r="A756" s="10"/>
      <c r="B756" s="10"/>
      <c r="C756" s="10"/>
      <c r="D756" s="10"/>
      <c r="E756" s="11"/>
      <c r="F756" s="10"/>
      <c r="G756" s="10"/>
      <c r="H756" s="10"/>
      <c r="I756" s="10"/>
      <c r="J756" s="10"/>
      <c r="K756" s="12"/>
      <c r="L756" s="10"/>
      <c r="M756" s="10"/>
      <c r="N756" s="13"/>
      <c r="O756" s="10"/>
      <c r="P756" s="10"/>
      <c r="Q756" s="10"/>
      <c r="R756" s="18"/>
      <c r="S756" s="10"/>
      <c r="T756" s="10"/>
      <c r="U756" s="13"/>
      <c r="V756" s="13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3"/>
      <c r="AL756" s="14"/>
      <c r="AM756" s="15"/>
      <c r="AN756" s="15"/>
      <c r="AO756" s="13"/>
      <c r="AP756" s="13"/>
      <c r="AQ756" s="16"/>
      <c r="AR756" s="10"/>
      <c r="AS756" s="10"/>
      <c r="AT756" s="10"/>
      <c r="AU756" s="10"/>
      <c r="AV756" s="11"/>
      <c r="AW756" s="11"/>
      <c r="AX756" s="10"/>
      <c r="AY756" s="11"/>
      <c r="AZ756" s="11"/>
      <c r="BA756" s="11"/>
      <c r="BB756" s="10"/>
      <c r="BC756" s="11"/>
      <c r="BD756" s="11"/>
      <c r="BE756" s="11"/>
      <c r="BF756" s="11"/>
      <c r="BG756" s="11"/>
      <c r="BH756" s="11"/>
      <c r="BI756" s="11"/>
      <c r="BJ756" s="11"/>
      <c r="BK756" s="11"/>
      <c r="BL756" s="11"/>
      <c r="BM756" s="11"/>
      <c r="BN756" s="11"/>
      <c r="BO756" s="11"/>
      <c r="BP756" s="11"/>
      <c r="BQ756" s="11"/>
      <c r="BR756" s="11"/>
      <c r="BS756" s="11"/>
      <c r="BT756" s="11"/>
      <c r="BU756" s="11"/>
      <c r="BV756" s="11"/>
      <c r="BW756" s="11"/>
      <c r="BX756" s="11"/>
      <c r="BY756" s="11"/>
      <c r="BZ756" s="11"/>
      <c r="CA756" s="11"/>
      <c r="CB756" s="11"/>
      <c r="CC756" s="17"/>
      <c r="CD756" s="17"/>
      <c r="CE756" s="11"/>
      <c r="CF756" s="13"/>
      <c r="CG756" s="13"/>
      <c r="CH756" s="13"/>
      <c r="CI756" s="13"/>
      <c r="CJ756" s="13"/>
    </row>
    <row r="757" spans="1:88" s="9" customFormat="1" x14ac:dyDescent="0.25">
      <c r="A757" s="10"/>
      <c r="B757" s="10"/>
      <c r="C757" s="10"/>
      <c r="D757" s="10"/>
      <c r="E757" s="11"/>
      <c r="F757" s="10"/>
      <c r="G757" s="10"/>
      <c r="H757" s="10"/>
      <c r="I757" s="10"/>
      <c r="J757" s="10"/>
      <c r="K757" s="12"/>
      <c r="L757" s="10"/>
      <c r="M757" s="10"/>
      <c r="N757" s="13"/>
      <c r="O757" s="10"/>
      <c r="P757" s="10"/>
      <c r="Q757" s="10"/>
      <c r="R757" s="18"/>
      <c r="S757" s="10"/>
      <c r="T757" s="10"/>
      <c r="U757" s="13"/>
      <c r="V757" s="13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3"/>
      <c r="AL757" s="14"/>
      <c r="AM757" s="15"/>
      <c r="AN757" s="15"/>
      <c r="AO757" s="13"/>
      <c r="AP757" s="13"/>
      <c r="AQ757" s="16"/>
      <c r="AR757" s="10"/>
      <c r="AS757" s="10"/>
      <c r="AT757" s="10"/>
      <c r="AU757" s="10"/>
      <c r="AV757" s="11"/>
      <c r="AW757" s="11"/>
      <c r="AX757" s="10"/>
      <c r="AY757" s="11"/>
      <c r="AZ757" s="11"/>
      <c r="BA757" s="11"/>
      <c r="BB757" s="10"/>
      <c r="BC757" s="11"/>
      <c r="BD757" s="11"/>
      <c r="BE757" s="11"/>
      <c r="BF757" s="11"/>
      <c r="BG757" s="11"/>
      <c r="BH757" s="11"/>
      <c r="BI757" s="11"/>
      <c r="BJ757" s="11"/>
      <c r="BK757" s="11"/>
      <c r="BL757" s="11"/>
      <c r="BM757" s="11"/>
      <c r="BN757" s="11"/>
      <c r="BO757" s="11"/>
      <c r="BP757" s="11"/>
      <c r="BQ757" s="11"/>
      <c r="BR757" s="11"/>
      <c r="BS757" s="11"/>
      <c r="BT757" s="11"/>
      <c r="BU757" s="11"/>
      <c r="BV757" s="11"/>
      <c r="BW757" s="11"/>
      <c r="BX757" s="11"/>
      <c r="BY757" s="11"/>
      <c r="BZ757" s="11"/>
      <c r="CA757" s="11"/>
      <c r="CB757" s="11"/>
      <c r="CC757" s="17"/>
      <c r="CD757" s="17"/>
      <c r="CE757" s="11"/>
      <c r="CF757" s="13"/>
      <c r="CG757" s="13"/>
      <c r="CH757" s="13"/>
      <c r="CI757" s="13"/>
      <c r="CJ757" s="13"/>
    </row>
    <row r="758" spans="1:88" s="9" customFormat="1" x14ac:dyDescent="0.25">
      <c r="A758" s="10"/>
      <c r="B758" s="10"/>
      <c r="C758" s="10"/>
      <c r="D758" s="10"/>
      <c r="E758" s="11"/>
      <c r="F758" s="10"/>
      <c r="G758" s="10"/>
      <c r="H758" s="10"/>
      <c r="I758" s="10"/>
      <c r="J758" s="10"/>
      <c r="K758" s="12"/>
      <c r="L758" s="10"/>
      <c r="M758" s="10"/>
      <c r="N758" s="13"/>
      <c r="O758" s="10"/>
      <c r="P758" s="10"/>
      <c r="Q758" s="10"/>
      <c r="R758" s="18"/>
      <c r="S758" s="10"/>
      <c r="T758" s="10"/>
      <c r="U758" s="13"/>
      <c r="V758" s="13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3"/>
      <c r="AL758" s="14"/>
      <c r="AM758" s="15"/>
      <c r="AN758" s="15"/>
      <c r="AO758" s="13"/>
      <c r="AP758" s="13"/>
      <c r="AQ758" s="16"/>
      <c r="AR758" s="10"/>
      <c r="AS758" s="10"/>
      <c r="AT758" s="10"/>
      <c r="AU758" s="10"/>
      <c r="AV758" s="11"/>
      <c r="AW758" s="11"/>
      <c r="AX758" s="10"/>
      <c r="AY758" s="11"/>
      <c r="AZ758" s="11"/>
      <c r="BA758" s="11"/>
      <c r="BB758" s="10"/>
      <c r="BC758" s="11"/>
      <c r="BD758" s="11"/>
      <c r="BE758" s="11"/>
      <c r="BF758" s="11"/>
      <c r="BG758" s="11"/>
      <c r="BH758" s="11"/>
      <c r="BI758" s="11"/>
      <c r="BJ758" s="11"/>
      <c r="BK758" s="11"/>
      <c r="BL758" s="11"/>
      <c r="BM758" s="11"/>
      <c r="BN758" s="11"/>
      <c r="BO758" s="11"/>
      <c r="BP758" s="11"/>
      <c r="BQ758" s="11"/>
      <c r="BR758" s="11"/>
      <c r="BS758" s="11"/>
      <c r="BT758" s="11"/>
      <c r="BU758" s="11"/>
      <c r="BV758" s="11"/>
      <c r="BW758" s="11"/>
      <c r="BX758" s="11"/>
      <c r="BY758" s="11"/>
      <c r="BZ758" s="11"/>
      <c r="CA758" s="11"/>
      <c r="CB758" s="11"/>
      <c r="CC758" s="17"/>
      <c r="CD758" s="17"/>
      <c r="CE758" s="11"/>
      <c r="CF758" s="13"/>
      <c r="CG758" s="13"/>
      <c r="CH758" s="13"/>
      <c r="CI758" s="13"/>
      <c r="CJ758" s="13"/>
    </row>
    <row r="759" spans="1:88" s="9" customFormat="1" x14ac:dyDescent="0.25">
      <c r="A759" s="10"/>
      <c r="B759" s="10"/>
      <c r="C759" s="10"/>
      <c r="D759" s="10"/>
      <c r="E759" s="11"/>
      <c r="F759" s="10"/>
      <c r="G759" s="10"/>
      <c r="H759" s="10"/>
      <c r="I759" s="10"/>
      <c r="J759" s="10"/>
      <c r="K759" s="12"/>
      <c r="L759" s="10"/>
      <c r="M759" s="10"/>
      <c r="N759" s="13"/>
      <c r="O759" s="10"/>
      <c r="P759" s="10"/>
      <c r="Q759" s="10"/>
      <c r="R759" s="18"/>
      <c r="S759" s="10"/>
      <c r="T759" s="10"/>
      <c r="U759" s="13"/>
      <c r="V759" s="13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3"/>
      <c r="AL759" s="14"/>
      <c r="AM759" s="15"/>
      <c r="AN759" s="15"/>
      <c r="AO759" s="13"/>
      <c r="AP759" s="13"/>
      <c r="AQ759" s="16"/>
      <c r="AR759" s="10"/>
      <c r="AS759" s="10"/>
      <c r="AT759" s="10"/>
      <c r="AU759" s="10"/>
      <c r="AV759" s="11"/>
      <c r="AW759" s="11"/>
      <c r="AX759" s="10"/>
      <c r="AY759" s="11"/>
      <c r="AZ759" s="11"/>
      <c r="BA759" s="11"/>
      <c r="BB759" s="10"/>
      <c r="BC759" s="11"/>
      <c r="BD759" s="11"/>
      <c r="BE759" s="11"/>
      <c r="BF759" s="11"/>
      <c r="BG759" s="11"/>
      <c r="BH759" s="11"/>
      <c r="BI759" s="11"/>
      <c r="BJ759" s="11"/>
      <c r="BK759" s="11"/>
      <c r="BL759" s="11"/>
      <c r="BM759" s="11"/>
      <c r="BN759" s="11"/>
      <c r="BO759" s="11"/>
      <c r="BP759" s="11"/>
      <c r="BQ759" s="11"/>
      <c r="BR759" s="11"/>
      <c r="BS759" s="11"/>
      <c r="BT759" s="11"/>
      <c r="BU759" s="11"/>
      <c r="BV759" s="11"/>
      <c r="BW759" s="11"/>
      <c r="BX759" s="11"/>
      <c r="BY759" s="11"/>
      <c r="BZ759" s="11"/>
      <c r="CA759" s="11"/>
      <c r="CB759" s="11"/>
      <c r="CC759" s="17"/>
      <c r="CD759" s="17"/>
      <c r="CE759" s="11"/>
      <c r="CF759" s="13"/>
      <c r="CG759" s="13"/>
      <c r="CH759" s="13"/>
      <c r="CI759" s="13"/>
      <c r="CJ759" s="13"/>
    </row>
    <row r="760" spans="1:88" s="9" customFormat="1" x14ac:dyDescent="0.25">
      <c r="A760" s="10"/>
      <c r="B760" s="10"/>
      <c r="C760" s="10"/>
      <c r="D760" s="10"/>
      <c r="E760" s="11"/>
      <c r="F760" s="10"/>
      <c r="G760" s="10"/>
      <c r="H760" s="10"/>
      <c r="I760" s="10"/>
      <c r="J760" s="10"/>
      <c r="K760" s="12"/>
      <c r="L760" s="10"/>
      <c r="M760" s="10"/>
      <c r="N760" s="13"/>
      <c r="O760" s="10"/>
      <c r="P760" s="10"/>
      <c r="Q760" s="10"/>
      <c r="R760" s="18"/>
      <c r="S760" s="10"/>
      <c r="T760" s="10"/>
      <c r="U760" s="13"/>
      <c r="V760" s="13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3"/>
      <c r="AL760" s="14"/>
      <c r="AM760" s="15"/>
      <c r="AN760" s="15"/>
      <c r="AO760" s="13"/>
      <c r="AP760" s="13"/>
      <c r="AQ760" s="16"/>
      <c r="AR760" s="10"/>
      <c r="AS760" s="10"/>
      <c r="AT760" s="10"/>
      <c r="AU760" s="10"/>
      <c r="AV760" s="11"/>
      <c r="AW760" s="11"/>
      <c r="AX760" s="10"/>
      <c r="AY760" s="11"/>
      <c r="AZ760" s="11"/>
      <c r="BA760" s="11"/>
      <c r="BB760" s="10"/>
      <c r="BC760" s="11"/>
      <c r="BD760" s="11"/>
      <c r="BE760" s="11"/>
      <c r="BF760" s="11"/>
      <c r="BG760" s="11"/>
      <c r="BH760" s="11"/>
      <c r="BI760" s="11"/>
      <c r="BJ760" s="11"/>
      <c r="BK760" s="11"/>
      <c r="BL760" s="11"/>
      <c r="BM760" s="11"/>
      <c r="BN760" s="11"/>
      <c r="BO760" s="11"/>
      <c r="BP760" s="11"/>
      <c r="BQ760" s="11"/>
      <c r="BR760" s="11"/>
      <c r="BS760" s="11"/>
      <c r="BT760" s="11"/>
      <c r="BU760" s="11"/>
      <c r="BV760" s="11"/>
      <c r="BW760" s="11"/>
      <c r="BX760" s="11"/>
      <c r="BY760" s="11"/>
      <c r="BZ760" s="11"/>
      <c r="CA760" s="11"/>
      <c r="CB760" s="11"/>
      <c r="CC760" s="17"/>
      <c r="CD760" s="17"/>
      <c r="CE760" s="11"/>
      <c r="CF760" s="13"/>
      <c r="CG760" s="13"/>
      <c r="CH760" s="13"/>
      <c r="CI760" s="13"/>
      <c r="CJ760" s="13"/>
    </row>
    <row r="761" spans="1:88" s="9" customFormat="1" x14ac:dyDescent="0.25">
      <c r="A761" s="10"/>
      <c r="B761" s="10"/>
      <c r="C761" s="10"/>
      <c r="D761" s="10"/>
      <c r="E761" s="11"/>
      <c r="F761" s="10"/>
      <c r="G761" s="10"/>
      <c r="H761" s="10"/>
      <c r="I761" s="10"/>
      <c r="J761" s="10"/>
      <c r="K761" s="12"/>
      <c r="L761" s="10"/>
      <c r="M761" s="10"/>
      <c r="N761" s="13"/>
      <c r="O761" s="10"/>
      <c r="P761" s="10"/>
      <c r="Q761" s="10"/>
      <c r="R761" s="18"/>
      <c r="S761" s="10"/>
      <c r="T761" s="10"/>
      <c r="U761" s="13"/>
      <c r="V761" s="13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3"/>
      <c r="AL761" s="14"/>
      <c r="AM761" s="15"/>
      <c r="AN761" s="15"/>
      <c r="AO761" s="13"/>
      <c r="AP761" s="13"/>
      <c r="AQ761" s="16"/>
      <c r="AR761" s="10"/>
      <c r="AS761" s="10"/>
      <c r="AT761" s="10"/>
      <c r="AU761" s="10"/>
      <c r="AV761" s="11"/>
      <c r="AW761" s="11"/>
      <c r="AX761" s="10"/>
      <c r="AY761" s="11"/>
      <c r="AZ761" s="11"/>
      <c r="BA761" s="11"/>
      <c r="BB761" s="10"/>
      <c r="BC761" s="11"/>
      <c r="BD761" s="11"/>
      <c r="BE761" s="11"/>
      <c r="BF761" s="11"/>
      <c r="BG761" s="11"/>
      <c r="BH761" s="11"/>
      <c r="BI761" s="11"/>
      <c r="BJ761" s="11"/>
      <c r="BK761" s="11"/>
      <c r="BL761" s="11"/>
      <c r="BM761" s="11"/>
      <c r="BN761" s="11"/>
      <c r="BO761" s="11"/>
      <c r="BP761" s="11"/>
      <c r="BQ761" s="11"/>
      <c r="BR761" s="11"/>
      <c r="BS761" s="11"/>
      <c r="BT761" s="11"/>
      <c r="BU761" s="11"/>
      <c r="BV761" s="11"/>
      <c r="BW761" s="11"/>
      <c r="BX761" s="11"/>
      <c r="BY761" s="11"/>
      <c r="BZ761" s="11"/>
      <c r="CA761" s="11"/>
      <c r="CB761" s="11"/>
      <c r="CC761" s="17"/>
      <c r="CD761" s="17"/>
      <c r="CE761" s="11"/>
      <c r="CF761" s="13"/>
      <c r="CG761" s="13"/>
      <c r="CH761" s="13"/>
      <c r="CI761" s="13"/>
      <c r="CJ761" s="13"/>
    </row>
    <row r="762" spans="1:88" s="9" customFormat="1" x14ac:dyDescent="0.25">
      <c r="A762" s="10"/>
      <c r="B762" s="10"/>
      <c r="C762" s="10"/>
      <c r="D762" s="10"/>
      <c r="E762" s="11"/>
      <c r="F762" s="10"/>
      <c r="G762" s="10"/>
      <c r="H762" s="10"/>
      <c r="I762" s="10"/>
      <c r="J762" s="10"/>
      <c r="K762" s="12"/>
      <c r="L762" s="10"/>
      <c r="M762" s="10"/>
      <c r="N762" s="13"/>
      <c r="O762" s="10"/>
      <c r="P762" s="10"/>
      <c r="Q762" s="10"/>
      <c r="R762" s="18"/>
      <c r="S762" s="10"/>
      <c r="T762" s="10"/>
      <c r="U762" s="13"/>
      <c r="V762" s="13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3"/>
      <c r="AL762" s="14"/>
      <c r="AM762" s="15"/>
      <c r="AN762" s="15"/>
      <c r="AO762" s="13"/>
      <c r="AP762" s="13"/>
      <c r="AQ762" s="16"/>
      <c r="AR762" s="10"/>
      <c r="AS762" s="10"/>
      <c r="AT762" s="10"/>
      <c r="AU762" s="10"/>
      <c r="AV762" s="11"/>
      <c r="AW762" s="11"/>
      <c r="AX762" s="10"/>
      <c r="AY762" s="11"/>
      <c r="AZ762" s="11"/>
      <c r="BA762" s="11"/>
      <c r="BB762" s="10"/>
      <c r="BC762" s="11"/>
      <c r="BD762" s="11"/>
      <c r="BE762" s="11"/>
      <c r="BF762" s="11"/>
      <c r="BG762" s="11"/>
      <c r="BH762" s="11"/>
      <c r="BI762" s="11"/>
      <c r="BJ762" s="11"/>
      <c r="BK762" s="11"/>
      <c r="BL762" s="11"/>
      <c r="BM762" s="11"/>
      <c r="BN762" s="11"/>
      <c r="BO762" s="11"/>
      <c r="BP762" s="11"/>
      <c r="BQ762" s="11"/>
      <c r="BR762" s="11"/>
      <c r="BS762" s="11"/>
      <c r="BT762" s="11"/>
      <c r="BU762" s="11"/>
      <c r="BV762" s="11"/>
      <c r="BW762" s="11"/>
      <c r="BX762" s="11"/>
      <c r="BY762" s="11"/>
      <c r="BZ762" s="11"/>
      <c r="CA762" s="11"/>
      <c r="CB762" s="11"/>
      <c r="CC762" s="17"/>
      <c r="CD762" s="17"/>
      <c r="CE762" s="11"/>
      <c r="CF762" s="13"/>
      <c r="CG762" s="13"/>
      <c r="CH762" s="13"/>
      <c r="CI762" s="13"/>
      <c r="CJ762" s="13"/>
    </row>
    <row r="763" spans="1:88" s="9" customFormat="1" x14ac:dyDescent="0.25">
      <c r="A763" s="10"/>
      <c r="B763" s="10"/>
      <c r="C763" s="10"/>
      <c r="D763" s="10"/>
      <c r="E763" s="11"/>
      <c r="F763" s="10"/>
      <c r="G763" s="10"/>
      <c r="H763" s="10"/>
      <c r="I763" s="10"/>
      <c r="J763" s="10"/>
      <c r="K763" s="12"/>
      <c r="L763" s="10"/>
      <c r="M763" s="10"/>
      <c r="N763" s="13"/>
      <c r="O763" s="10"/>
      <c r="P763" s="10"/>
      <c r="Q763" s="10"/>
      <c r="R763" s="18"/>
      <c r="S763" s="10"/>
      <c r="T763" s="10"/>
      <c r="U763" s="13"/>
      <c r="V763" s="13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3"/>
      <c r="AL763" s="14"/>
      <c r="AM763" s="15"/>
      <c r="AN763" s="15"/>
      <c r="AO763" s="13"/>
      <c r="AP763" s="13"/>
      <c r="AQ763" s="16"/>
      <c r="AR763" s="10"/>
      <c r="AS763" s="10"/>
      <c r="AT763" s="10"/>
      <c r="AU763" s="10"/>
      <c r="AV763" s="11"/>
      <c r="AW763" s="11"/>
      <c r="AX763" s="10"/>
      <c r="AY763" s="11"/>
      <c r="AZ763" s="11"/>
      <c r="BA763" s="11"/>
      <c r="BB763" s="10"/>
      <c r="BC763" s="11"/>
      <c r="BD763" s="11"/>
      <c r="BE763" s="11"/>
      <c r="BF763" s="11"/>
      <c r="BG763" s="11"/>
      <c r="BH763" s="11"/>
      <c r="BI763" s="11"/>
      <c r="BJ763" s="11"/>
      <c r="BK763" s="11"/>
      <c r="BL763" s="11"/>
      <c r="BM763" s="11"/>
      <c r="BN763" s="11"/>
      <c r="BO763" s="11"/>
      <c r="BP763" s="11"/>
      <c r="BQ763" s="11"/>
      <c r="BR763" s="11"/>
      <c r="BS763" s="11"/>
      <c r="BT763" s="11"/>
      <c r="BU763" s="11"/>
      <c r="BV763" s="11"/>
      <c r="BW763" s="11"/>
      <c r="BX763" s="11"/>
      <c r="BY763" s="11"/>
      <c r="BZ763" s="11"/>
      <c r="CA763" s="11"/>
      <c r="CB763" s="11"/>
      <c r="CC763" s="17"/>
      <c r="CD763" s="17"/>
      <c r="CE763" s="11"/>
      <c r="CF763" s="13"/>
      <c r="CG763" s="13"/>
      <c r="CH763" s="13"/>
      <c r="CI763" s="13"/>
      <c r="CJ763" s="13"/>
    </row>
    <row r="764" spans="1:88" s="9" customFormat="1" x14ac:dyDescent="0.25">
      <c r="A764" s="10"/>
      <c r="B764" s="10"/>
      <c r="C764" s="10"/>
      <c r="D764" s="10"/>
      <c r="E764" s="11"/>
      <c r="F764" s="10"/>
      <c r="G764" s="10"/>
      <c r="H764" s="10"/>
      <c r="I764" s="10"/>
      <c r="J764" s="10"/>
      <c r="K764" s="12"/>
      <c r="L764" s="10"/>
      <c r="M764" s="10"/>
      <c r="N764" s="13"/>
      <c r="O764" s="10"/>
      <c r="P764" s="10"/>
      <c r="Q764" s="10"/>
      <c r="R764" s="18"/>
      <c r="S764" s="10"/>
      <c r="T764" s="10"/>
      <c r="U764" s="13"/>
      <c r="V764" s="13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3"/>
      <c r="AL764" s="14"/>
      <c r="AM764" s="15"/>
      <c r="AN764" s="15"/>
      <c r="AO764" s="13"/>
      <c r="AP764" s="13"/>
      <c r="AQ764" s="16"/>
      <c r="AR764" s="10"/>
      <c r="AS764" s="10"/>
      <c r="AT764" s="10"/>
      <c r="AU764" s="10"/>
      <c r="AV764" s="11"/>
      <c r="AW764" s="11"/>
      <c r="AX764" s="10"/>
      <c r="AY764" s="11"/>
      <c r="AZ764" s="11"/>
      <c r="BA764" s="11"/>
      <c r="BB764" s="10"/>
      <c r="BC764" s="11"/>
      <c r="BD764" s="11"/>
      <c r="BE764" s="11"/>
      <c r="BF764" s="11"/>
      <c r="BG764" s="11"/>
      <c r="BH764" s="11"/>
      <c r="BI764" s="11"/>
      <c r="BJ764" s="11"/>
      <c r="BK764" s="11"/>
      <c r="BL764" s="11"/>
      <c r="BM764" s="11"/>
      <c r="BN764" s="11"/>
      <c r="BO764" s="11"/>
      <c r="BP764" s="11"/>
      <c r="BQ764" s="11"/>
      <c r="BR764" s="11"/>
      <c r="BS764" s="11"/>
      <c r="BT764" s="11"/>
      <c r="BU764" s="11"/>
      <c r="BV764" s="11"/>
      <c r="BW764" s="11"/>
      <c r="BX764" s="11"/>
      <c r="BY764" s="11"/>
      <c r="BZ764" s="11"/>
      <c r="CA764" s="11"/>
      <c r="CB764" s="11"/>
      <c r="CC764" s="17"/>
      <c r="CD764" s="17"/>
      <c r="CE764" s="11"/>
      <c r="CF764" s="13"/>
      <c r="CG764" s="13"/>
      <c r="CH764" s="13"/>
      <c r="CI764" s="13"/>
      <c r="CJ764" s="13"/>
    </row>
    <row r="765" spans="1:88" s="9" customFormat="1" x14ac:dyDescent="0.25">
      <c r="A765" s="10"/>
      <c r="B765" s="10"/>
      <c r="C765" s="10"/>
      <c r="D765" s="10"/>
      <c r="E765" s="11"/>
      <c r="F765" s="10"/>
      <c r="G765" s="10"/>
      <c r="H765" s="10"/>
      <c r="I765" s="10"/>
      <c r="J765" s="10"/>
      <c r="K765" s="12"/>
      <c r="L765" s="10"/>
      <c r="M765" s="10"/>
      <c r="N765" s="13"/>
      <c r="O765" s="10"/>
      <c r="P765" s="10"/>
      <c r="Q765" s="10"/>
      <c r="R765" s="18"/>
      <c r="S765" s="10"/>
      <c r="T765" s="10"/>
      <c r="U765" s="13"/>
      <c r="V765" s="13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3"/>
      <c r="AL765" s="14"/>
      <c r="AM765" s="15"/>
      <c r="AN765" s="15"/>
      <c r="AO765" s="13"/>
      <c r="AP765" s="13"/>
      <c r="AQ765" s="16"/>
      <c r="AR765" s="10"/>
      <c r="AS765" s="10"/>
      <c r="AT765" s="10"/>
      <c r="AU765" s="10"/>
      <c r="AV765" s="11"/>
      <c r="AW765" s="11"/>
      <c r="AX765" s="10"/>
      <c r="AY765" s="11"/>
      <c r="AZ765" s="11"/>
      <c r="BA765" s="11"/>
      <c r="BB765" s="10"/>
      <c r="BC765" s="11"/>
      <c r="BD765" s="11"/>
      <c r="BE765" s="11"/>
      <c r="BF765" s="11"/>
      <c r="BG765" s="11"/>
      <c r="BH765" s="11"/>
      <c r="BI765" s="11"/>
      <c r="BJ765" s="11"/>
      <c r="BK765" s="11"/>
      <c r="BL765" s="11"/>
      <c r="BM765" s="11"/>
      <c r="BN765" s="11"/>
      <c r="BO765" s="11"/>
      <c r="BP765" s="11"/>
      <c r="BQ765" s="11"/>
      <c r="BR765" s="11"/>
      <c r="BS765" s="11"/>
      <c r="BT765" s="11"/>
      <c r="BU765" s="11"/>
      <c r="BV765" s="11"/>
      <c r="BW765" s="11"/>
      <c r="BX765" s="11"/>
      <c r="BY765" s="11"/>
      <c r="BZ765" s="11"/>
      <c r="CA765" s="11"/>
      <c r="CB765" s="11"/>
      <c r="CC765" s="17"/>
      <c r="CD765" s="17"/>
      <c r="CE765" s="11"/>
      <c r="CF765" s="13"/>
      <c r="CG765" s="13"/>
      <c r="CH765" s="13"/>
      <c r="CI765" s="13"/>
      <c r="CJ765" s="13"/>
    </row>
    <row r="766" spans="1:88" s="9" customFormat="1" x14ac:dyDescent="0.25">
      <c r="A766" s="10"/>
      <c r="B766" s="10"/>
      <c r="C766" s="10"/>
      <c r="D766" s="10"/>
      <c r="E766" s="11"/>
      <c r="F766" s="10"/>
      <c r="G766" s="10"/>
      <c r="H766" s="10"/>
      <c r="I766" s="10"/>
      <c r="J766" s="10"/>
      <c r="K766" s="12"/>
      <c r="L766" s="10"/>
      <c r="M766" s="10"/>
      <c r="N766" s="13"/>
      <c r="O766" s="10"/>
      <c r="P766" s="10"/>
      <c r="Q766" s="10"/>
      <c r="R766" s="18"/>
      <c r="S766" s="10"/>
      <c r="T766" s="10"/>
      <c r="U766" s="13"/>
      <c r="V766" s="13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3"/>
      <c r="AL766" s="14"/>
      <c r="AM766" s="15"/>
      <c r="AN766" s="15"/>
      <c r="AO766" s="13"/>
      <c r="AP766" s="13"/>
      <c r="AQ766" s="16"/>
      <c r="AR766" s="10"/>
      <c r="AS766" s="10"/>
      <c r="AT766" s="10"/>
      <c r="AU766" s="10"/>
      <c r="AV766" s="11"/>
      <c r="AW766" s="11"/>
      <c r="AX766" s="10"/>
      <c r="AY766" s="11"/>
      <c r="AZ766" s="11"/>
      <c r="BA766" s="11"/>
      <c r="BB766" s="10"/>
      <c r="BC766" s="11"/>
      <c r="BD766" s="11"/>
      <c r="BE766" s="11"/>
      <c r="BF766" s="11"/>
      <c r="BG766" s="11"/>
      <c r="BH766" s="11"/>
      <c r="BI766" s="11"/>
      <c r="BJ766" s="11"/>
      <c r="BK766" s="11"/>
      <c r="BL766" s="11"/>
      <c r="BM766" s="11"/>
      <c r="BN766" s="11"/>
      <c r="BO766" s="11"/>
      <c r="BP766" s="11"/>
      <c r="BQ766" s="11"/>
      <c r="BR766" s="11"/>
      <c r="BS766" s="11"/>
      <c r="BT766" s="11"/>
      <c r="BU766" s="11"/>
      <c r="BV766" s="11"/>
      <c r="BW766" s="11"/>
      <c r="BX766" s="11"/>
      <c r="BY766" s="11"/>
      <c r="BZ766" s="11"/>
      <c r="CA766" s="11"/>
      <c r="CB766" s="11"/>
      <c r="CC766" s="17"/>
      <c r="CD766" s="17"/>
      <c r="CE766" s="11"/>
      <c r="CF766" s="13"/>
      <c r="CG766" s="13"/>
      <c r="CH766" s="13"/>
      <c r="CI766" s="13"/>
      <c r="CJ766" s="13"/>
    </row>
    <row r="767" spans="1:88" s="9" customFormat="1" x14ac:dyDescent="0.25">
      <c r="A767" s="10"/>
      <c r="B767" s="10"/>
      <c r="C767" s="10"/>
      <c r="D767" s="10"/>
      <c r="E767" s="11"/>
      <c r="F767" s="10"/>
      <c r="G767" s="10"/>
      <c r="H767" s="10"/>
      <c r="I767" s="10"/>
      <c r="J767" s="10"/>
      <c r="K767" s="12"/>
      <c r="L767" s="10"/>
      <c r="M767" s="10"/>
      <c r="N767" s="13"/>
      <c r="O767" s="10"/>
      <c r="P767" s="10"/>
      <c r="Q767" s="10"/>
      <c r="R767" s="18"/>
      <c r="S767" s="10"/>
      <c r="T767" s="10"/>
      <c r="U767" s="13"/>
      <c r="V767" s="13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3"/>
      <c r="AL767" s="14"/>
      <c r="AM767" s="15"/>
      <c r="AN767" s="15"/>
      <c r="AO767" s="13"/>
      <c r="AP767" s="13"/>
      <c r="AQ767" s="16"/>
      <c r="AR767" s="10"/>
      <c r="AS767" s="10"/>
      <c r="AT767" s="10"/>
      <c r="AU767" s="10"/>
      <c r="AV767" s="11"/>
      <c r="AW767" s="11"/>
      <c r="AX767" s="10"/>
      <c r="AY767" s="11"/>
      <c r="AZ767" s="11"/>
      <c r="BA767" s="11"/>
      <c r="BB767" s="10"/>
      <c r="BC767" s="11"/>
      <c r="BD767" s="11"/>
      <c r="BE767" s="11"/>
      <c r="BF767" s="11"/>
      <c r="BG767" s="11"/>
      <c r="BH767" s="11"/>
      <c r="BI767" s="11"/>
      <c r="BJ767" s="11"/>
      <c r="BK767" s="11"/>
      <c r="BL767" s="11"/>
      <c r="BM767" s="11"/>
      <c r="BN767" s="11"/>
      <c r="BO767" s="11"/>
      <c r="BP767" s="11"/>
      <c r="BQ767" s="11"/>
      <c r="BR767" s="11"/>
      <c r="BS767" s="11"/>
      <c r="BT767" s="11"/>
      <c r="BU767" s="11"/>
      <c r="BV767" s="11"/>
      <c r="BW767" s="11"/>
      <c r="BX767" s="11"/>
      <c r="BY767" s="11"/>
      <c r="BZ767" s="11"/>
      <c r="CA767" s="11"/>
      <c r="CB767" s="11"/>
      <c r="CC767" s="17"/>
      <c r="CD767" s="17"/>
      <c r="CE767" s="11"/>
      <c r="CF767" s="13"/>
      <c r="CG767" s="13"/>
      <c r="CH767" s="13"/>
      <c r="CI767" s="13"/>
      <c r="CJ767" s="13"/>
    </row>
    <row r="768" spans="1:88" s="9" customFormat="1" x14ac:dyDescent="0.25">
      <c r="A768" s="10"/>
      <c r="B768" s="10"/>
      <c r="C768" s="10"/>
      <c r="D768" s="10"/>
      <c r="E768" s="11"/>
      <c r="F768" s="10"/>
      <c r="G768" s="10"/>
      <c r="H768" s="10"/>
      <c r="I768" s="10"/>
      <c r="J768" s="10"/>
      <c r="K768" s="12"/>
      <c r="L768" s="10"/>
      <c r="M768" s="10"/>
      <c r="N768" s="13"/>
      <c r="O768" s="10"/>
      <c r="P768" s="10"/>
      <c r="Q768" s="10"/>
      <c r="R768" s="18"/>
      <c r="S768" s="10"/>
      <c r="T768" s="10"/>
      <c r="U768" s="13"/>
      <c r="V768" s="13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3"/>
      <c r="AL768" s="14"/>
      <c r="AM768" s="15"/>
      <c r="AN768" s="15"/>
      <c r="AO768" s="13"/>
      <c r="AP768" s="13"/>
      <c r="AQ768" s="16"/>
      <c r="AR768" s="10"/>
      <c r="AS768" s="10"/>
      <c r="AT768" s="10"/>
      <c r="AU768" s="10"/>
      <c r="AV768" s="11"/>
      <c r="AW768" s="11"/>
      <c r="AX768" s="10"/>
      <c r="AY768" s="11"/>
      <c r="AZ768" s="11"/>
      <c r="BA768" s="11"/>
      <c r="BB768" s="10"/>
      <c r="BC768" s="11"/>
      <c r="BD768" s="11"/>
      <c r="BE768" s="11"/>
      <c r="BF768" s="11"/>
      <c r="BG768" s="11"/>
      <c r="BH768" s="11"/>
      <c r="BI768" s="11"/>
      <c r="BJ768" s="11"/>
      <c r="BK768" s="11"/>
      <c r="BL768" s="11"/>
      <c r="BM768" s="11"/>
      <c r="BN768" s="11"/>
      <c r="BO768" s="11"/>
      <c r="BP768" s="11"/>
      <c r="BQ768" s="11"/>
      <c r="BR768" s="11"/>
      <c r="BS768" s="11"/>
      <c r="BT768" s="11"/>
      <c r="BU768" s="11"/>
      <c r="BV768" s="11"/>
      <c r="BW768" s="11"/>
      <c r="BX768" s="11"/>
      <c r="BY768" s="11"/>
      <c r="BZ768" s="11"/>
      <c r="CA768" s="11"/>
      <c r="CB768" s="11"/>
      <c r="CC768" s="17"/>
      <c r="CD768" s="17"/>
      <c r="CE768" s="11"/>
      <c r="CF768" s="13"/>
      <c r="CG768" s="13"/>
      <c r="CH768" s="13"/>
      <c r="CI768" s="13"/>
      <c r="CJ768" s="13"/>
    </row>
    <row r="769" spans="1:88" s="9" customFormat="1" x14ac:dyDescent="0.25">
      <c r="A769" s="10"/>
      <c r="B769" s="10"/>
      <c r="C769" s="10"/>
      <c r="D769" s="10"/>
      <c r="E769" s="11"/>
      <c r="F769" s="10"/>
      <c r="G769" s="10"/>
      <c r="H769" s="10"/>
      <c r="I769" s="10"/>
      <c r="J769" s="10"/>
      <c r="K769" s="12"/>
      <c r="L769" s="10"/>
      <c r="M769" s="10"/>
      <c r="N769" s="13"/>
      <c r="O769" s="10"/>
      <c r="P769" s="10"/>
      <c r="Q769" s="10"/>
      <c r="R769" s="18"/>
      <c r="S769" s="10"/>
      <c r="T769" s="10"/>
      <c r="U769" s="13"/>
      <c r="V769" s="13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3"/>
      <c r="AL769" s="14"/>
      <c r="AM769" s="15"/>
      <c r="AN769" s="15"/>
      <c r="AO769" s="13"/>
      <c r="AP769" s="13"/>
      <c r="AQ769" s="16"/>
      <c r="AR769" s="10"/>
      <c r="AS769" s="10"/>
      <c r="AT769" s="10"/>
      <c r="AU769" s="10"/>
      <c r="AV769" s="11"/>
      <c r="AW769" s="11"/>
      <c r="AX769" s="10"/>
      <c r="AY769" s="11"/>
      <c r="AZ769" s="11"/>
      <c r="BA769" s="11"/>
      <c r="BB769" s="10"/>
      <c r="BC769" s="11"/>
      <c r="BD769" s="11"/>
      <c r="BE769" s="11"/>
      <c r="BF769" s="11"/>
      <c r="BG769" s="11"/>
      <c r="BH769" s="11"/>
      <c r="BI769" s="11"/>
      <c r="BJ769" s="11"/>
      <c r="BK769" s="11"/>
      <c r="BL769" s="11"/>
      <c r="BM769" s="11"/>
      <c r="BN769" s="11"/>
      <c r="BO769" s="11"/>
      <c r="BP769" s="11"/>
      <c r="BQ769" s="11"/>
      <c r="BR769" s="11"/>
      <c r="BS769" s="11"/>
      <c r="BT769" s="11"/>
      <c r="BU769" s="11"/>
      <c r="BV769" s="11"/>
      <c r="BW769" s="11"/>
      <c r="BX769" s="11"/>
      <c r="BY769" s="11"/>
      <c r="BZ769" s="11"/>
      <c r="CA769" s="11"/>
      <c r="CB769" s="11"/>
      <c r="CC769" s="17"/>
      <c r="CD769" s="17"/>
      <c r="CE769" s="11"/>
      <c r="CF769" s="13"/>
      <c r="CG769" s="13"/>
      <c r="CH769" s="13"/>
      <c r="CI769" s="13"/>
      <c r="CJ769" s="13"/>
    </row>
    <row r="770" spans="1:88" s="9" customFormat="1" x14ac:dyDescent="0.25">
      <c r="A770" s="10"/>
      <c r="B770" s="10"/>
      <c r="C770" s="10"/>
      <c r="D770" s="10"/>
      <c r="E770" s="11"/>
      <c r="F770" s="10"/>
      <c r="G770" s="10"/>
      <c r="H770" s="10"/>
      <c r="I770" s="10"/>
      <c r="J770" s="10"/>
      <c r="K770" s="12"/>
      <c r="L770" s="10"/>
      <c r="M770" s="10"/>
      <c r="N770" s="13"/>
      <c r="O770" s="10"/>
      <c r="P770" s="10"/>
      <c r="Q770" s="10"/>
      <c r="R770" s="18"/>
      <c r="S770" s="10"/>
      <c r="T770" s="10"/>
      <c r="U770" s="13"/>
      <c r="V770" s="13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3"/>
      <c r="AL770" s="14"/>
      <c r="AM770" s="15"/>
      <c r="AN770" s="15"/>
      <c r="AO770" s="13"/>
      <c r="AP770" s="13"/>
      <c r="AQ770" s="16"/>
      <c r="AR770" s="10"/>
      <c r="AS770" s="10"/>
      <c r="AT770" s="10"/>
      <c r="AU770" s="10"/>
      <c r="AV770" s="11"/>
      <c r="AW770" s="11"/>
      <c r="AX770" s="10"/>
      <c r="AY770" s="11"/>
      <c r="AZ770" s="11"/>
      <c r="BA770" s="11"/>
      <c r="BB770" s="10"/>
      <c r="BC770" s="11"/>
      <c r="BD770" s="11"/>
      <c r="BE770" s="11"/>
      <c r="BF770" s="11"/>
      <c r="BG770" s="11"/>
      <c r="BH770" s="11"/>
      <c r="BI770" s="11"/>
      <c r="BJ770" s="11"/>
      <c r="BK770" s="11"/>
      <c r="BL770" s="11"/>
      <c r="BM770" s="11"/>
      <c r="BN770" s="11"/>
      <c r="BO770" s="11"/>
      <c r="BP770" s="11"/>
      <c r="BQ770" s="11"/>
      <c r="BR770" s="11"/>
      <c r="BS770" s="11"/>
      <c r="BT770" s="11"/>
      <c r="BU770" s="11"/>
      <c r="BV770" s="11"/>
      <c r="BW770" s="11"/>
      <c r="BX770" s="11"/>
      <c r="BY770" s="11"/>
      <c r="BZ770" s="11"/>
      <c r="CA770" s="11"/>
      <c r="CB770" s="11"/>
      <c r="CC770" s="17"/>
      <c r="CD770" s="17"/>
      <c r="CE770" s="11"/>
      <c r="CF770" s="13"/>
      <c r="CG770" s="13"/>
      <c r="CH770" s="13"/>
      <c r="CI770" s="13"/>
      <c r="CJ770" s="13"/>
    </row>
    <row r="771" spans="1:88" s="9" customFormat="1" x14ac:dyDescent="0.25">
      <c r="A771" s="10"/>
      <c r="B771" s="10"/>
      <c r="C771" s="10"/>
      <c r="D771" s="10"/>
      <c r="E771" s="11"/>
      <c r="F771" s="10"/>
      <c r="G771" s="10"/>
      <c r="H771" s="10"/>
      <c r="I771" s="10"/>
      <c r="J771" s="10"/>
      <c r="K771" s="12"/>
      <c r="L771" s="10"/>
      <c r="M771" s="10"/>
      <c r="N771" s="13"/>
      <c r="O771" s="10"/>
      <c r="P771" s="10"/>
      <c r="Q771" s="10"/>
      <c r="R771" s="18"/>
      <c r="S771" s="10"/>
      <c r="T771" s="10"/>
      <c r="U771" s="13"/>
      <c r="V771" s="13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3"/>
      <c r="AL771" s="14"/>
      <c r="AM771" s="15"/>
      <c r="AN771" s="15"/>
      <c r="AO771" s="13"/>
      <c r="AP771" s="13"/>
      <c r="AQ771" s="16"/>
      <c r="AR771" s="10"/>
      <c r="AS771" s="10"/>
      <c r="AT771" s="10"/>
      <c r="AU771" s="10"/>
      <c r="AV771" s="11"/>
      <c r="AW771" s="11"/>
      <c r="AX771" s="10"/>
      <c r="AY771" s="11"/>
      <c r="AZ771" s="11"/>
      <c r="BA771" s="11"/>
      <c r="BB771" s="10"/>
      <c r="BC771" s="11"/>
      <c r="BD771" s="11"/>
      <c r="BE771" s="11"/>
      <c r="BF771" s="11"/>
      <c r="BG771" s="11"/>
      <c r="BH771" s="11"/>
      <c r="BI771" s="11"/>
      <c r="BJ771" s="11"/>
      <c r="BK771" s="11"/>
      <c r="BL771" s="11"/>
      <c r="BM771" s="11"/>
      <c r="BN771" s="11"/>
      <c r="BO771" s="11"/>
      <c r="BP771" s="11"/>
      <c r="BQ771" s="11"/>
      <c r="BR771" s="11"/>
      <c r="BS771" s="11"/>
      <c r="BT771" s="11"/>
      <c r="BU771" s="11"/>
      <c r="BV771" s="11"/>
      <c r="BW771" s="11"/>
      <c r="BX771" s="11"/>
      <c r="BY771" s="11"/>
      <c r="BZ771" s="11"/>
      <c r="CA771" s="11"/>
      <c r="CB771" s="11"/>
      <c r="CC771" s="17"/>
      <c r="CD771" s="17"/>
      <c r="CE771" s="11"/>
      <c r="CF771" s="13"/>
      <c r="CG771" s="13"/>
      <c r="CH771" s="13"/>
      <c r="CI771" s="13"/>
      <c r="CJ771" s="13"/>
    </row>
    <row r="772" spans="1:88" s="9" customFormat="1" x14ac:dyDescent="0.25">
      <c r="A772" s="10"/>
      <c r="B772" s="10"/>
      <c r="C772" s="10"/>
      <c r="D772" s="10"/>
      <c r="E772" s="11"/>
      <c r="F772" s="10"/>
      <c r="G772" s="10"/>
      <c r="H772" s="10"/>
      <c r="I772" s="10"/>
      <c r="J772" s="10"/>
      <c r="K772" s="12"/>
      <c r="L772" s="10"/>
      <c r="M772" s="10"/>
      <c r="N772" s="13"/>
      <c r="O772" s="10"/>
      <c r="P772" s="10"/>
      <c r="Q772" s="10"/>
      <c r="R772" s="18"/>
      <c r="S772" s="10"/>
      <c r="T772" s="10"/>
      <c r="U772" s="13"/>
      <c r="V772" s="13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3"/>
      <c r="AL772" s="14"/>
      <c r="AM772" s="15"/>
      <c r="AN772" s="15"/>
      <c r="AO772" s="13"/>
      <c r="AP772" s="13"/>
      <c r="AQ772" s="16"/>
      <c r="AR772" s="10"/>
      <c r="AS772" s="10"/>
      <c r="AT772" s="10"/>
      <c r="AU772" s="10"/>
      <c r="AV772" s="11"/>
      <c r="AW772" s="11"/>
      <c r="AX772" s="10"/>
      <c r="AY772" s="11"/>
      <c r="AZ772" s="11"/>
      <c r="BA772" s="11"/>
      <c r="BB772" s="10"/>
      <c r="BC772" s="11"/>
      <c r="BD772" s="11"/>
      <c r="BE772" s="11"/>
      <c r="BF772" s="11"/>
      <c r="BG772" s="11"/>
      <c r="BH772" s="11"/>
      <c r="BI772" s="11"/>
      <c r="BJ772" s="11"/>
      <c r="BK772" s="11"/>
      <c r="BL772" s="11"/>
      <c r="BM772" s="11"/>
      <c r="BN772" s="11"/>
      <c r="BO772" s="11"/>
      <c r="BP772" s="11"/>
      <c r="BQ772" s="11"/>
      <c r="BR772" s="11"/>
      <c r="BS772" s="11"/>
      <c r="BT772" s="11"/>
      <c r="BU772" s="11"/>
      <c r="BV772" s="11"/>
      <c r="BW772" s="11"/>
      <c r="BX772" s="11"/>
      <c r="BY772" s="11"/>
      <c r="BZ772" s="11"/>
      <c r="CA772" s="11"/>
      <c r="CB772" s="11"/>
      <c r="CC772" s="17"/>
      <c r="CD772" s="17"/>
      <c r="CE772" s="11"/>
      <c r="CF772" s="13"/>
      <c r="CG772" s="13"/>
      <c r="CH772" s="13"/>
      <c r="CI772" s="13"/>
      <c r="CJ772" s="13"/>
    </row>
    <row r="773" spans="1:88" s="9" customFormat="1" x14ac:dyDescent="0.25">
      <c r="A773" s="10"/>
      <c r="B773" s="10"/>
      <c r="C773" s="10"/>
      <c r="D773" s="10"/>
      <c r="E773" s="11"/>
      <c r="F773" s="10"/>
      <c r="G773" s="10"/>
      <c r="H773" s="10"/>
      <c r="I773" s="10"/>
      <c r="J773" s="10"/>
      <c r="K773" s="12"/>
      <c r="L773" s="10"/>
      <c r="M773" s="10"/>
      <c r="N773" s="13"/>
      <c r="O773" s="10"/>
      <c r="P773" s="10"/>
      <c r="Q773" s="10"/>
      <c r="R773" s="18"/>
      <c r="S773" s="10"/>
      <c r="T773" s="10"/>
      <c r="U773" s="13"/>
      <c r="V773" s="13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3"/>
      <c r="AL773" s="14"/>
      <c r="AM773" s="15"/>
      <c r="AN773" s="15"/>
      <c r="AO773" s="13"/>
      <c r="AP773" s="13"/>
      <c r="AQ773" s="16"/>
      <c r="AR773" s="10"/>
      <c r="AS773" s="10"/>
      <c r="AT773" s="10"/>
      <c r="AU773" s="10"/>
      <c r="AV773" s="11"/>
      <c r="AW773" s="11"/>
      <c r="AX773" s="10"/>
      <c r="AY773" s="11"/>
      <c r="AZ773" s="11"/>
      <c r="BA773" s="11"/>
      <c r="BB773" s="10"/>
      <c r="BC773" s="11"/>
      <c r="BD773" s="11"/>
      <c r="BE773" s="11"/>
      <c r="BF773" s="11"/>
      <c r="BG773" s="11"/>
      <c r="BH773" s="11"/>
      <c r="BI773" s="11"/>
      <c r="BJ773" s="11"/>
      <c r="BK773" s="11"/>
      <c r="BL773" s="11"/>
      <c r="BM773" s="11"/>
      <c r="BN773" s="11"/>
      <c r="BO773" s="11"/>
      <c r="BP773" s="11"/>
      <c r="BQ773" s="11"/>
      <c r="BR773" s="11"/>
      <c r="BS773" s="11"/>
      <c r="BT773" s="11"/>
      <c r="BU773" s="11"/>
      <c r="BV773" s="11"/>
      <c r="BW773" s="11"/>
      <c r="BX773" s="11"/>
      <c r="BY773" s="11"/>
      <c r="BZ773" s="11"/>
      <c r="CA773" s="11"/>
      <c r="CB773" s="11"/>
      <c r="CC773" s="17"/>
      <c r="CD773" s="17"/>
      <c r="CE773" s="11"/>
      <c r="CF773" s="13"/>
      <c r="CG773" s="13"/>
      <c r="CH773" s="13"/>
      <c r="CI773" s="13"/>
      <c r="CJ773" s="13"/>
    </row>
    <row r="774" spans="1:88" s="9" customFormat="1" x14ac:dyDescent="0.25">
      <c r="A774" s="10"/>
      <c r="B774" s="10"/>
      <c r="C774" s="10"/>
      <c r="D774" s="10"/>
      <c r="E774" s="11"/>
      <c r="F774" s="10"/>
      <c r="G774" s="10"/>
      <c r="H774" s="10"/>
      <c r="I774" s="10"/>
      <c r="J774" s="10"/>
      <c r="K774" s="12"/>
      <c r="L774" s="10"/>
      <c r="M774" s="10"/>
      <c r="N774" s="13"/>
      <c r="O774" s="10"/>
      <c r="P774" s="10"/>
      <c r="Q774" s="10"/>
      <c r="R774" s="18"/>
      <c r="S774" s="10"/>
      <c r="T774" s="10"/>
      <c r="U774" s="13"/>
      <c r="V774" s="13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3"/>
      <c r="AL774" s="14"/>
      <c r="AM774" s="15"/>
      <c r="AN774" s="15"/>
      <c r="AO774" s="13"/>
      <c r="AP774" s="13"/>
      <c r="AQ774" s="16"/>
      <c r="AR774" s="10"/>
      <c r="AS774" s="10"/>
      <c r="AT774" s="10"/>
      <c r="AU774" s="10"/>
      <c r="AV774" s="11"/>
      <c r="AW774" s="11"/>
      <c r="AX774" s="10"/>
      <c r="AY774" s="11"/>
      <c r="AZ774" s="11"/>
      <c r="BA774" s="11"/>
      <c r="BB774" s="10"/>
      <c r="BC774" s="11"/>
      <c r="BD774" s="11"/>
      <c r="BE774" s="11"/>
      <c r="BF774" s="11"/>
      <c r="BG774" s="11"/>
      <c r="BH774" s="11"/>
      <c r="BI774" s="11"/>
      <c r="BJ774" s="11"/>
      <c r="BK774" s="11"/>
      <c r="BL774" s="11"/>
      <c r="BM774" s="11"/>
      <c r="BN774" s="11"/>
      <c r="BO774" s="11"/>
      <c r="BP774" s="11"/>
      <c r="BQ774" s="11"/>
      <c r="BR774" s="11"/>
      <c r="BS774" s="11"/>
      <c r="BT774" s="11"/>
      <c r="BU774" s="11"/>
      <c r="BV774" s="11"/>
      <c r="BW774" s="11"/>
      <c r="BX774" s="11"/>
      <c r="BY774" s="11"/>
      <c r="BZ774" s="11"/>
      <c r="CA774" s="11"/>
      <c r="CB774" s="11"/>
      <c r="CC774" s="17"/>
      <c r="CD774" s="17"/>
      <c r="CE774" s="11"/>
      <c r="CF774" s="13"/>
      <c r="CG774" s="13"/>
      <c r="CH774" s="13"/>
      <c r="CI774" s="13"/>
      <c r="CJ774" s="13"/>
    </row>
    <row r="775" spans="1:88" s="9" customFormat="1" x14ac:dyDescent="0.25">
      <c r="A775" s="10"/>
      <c r="B775" s="10"/>
      <c r="C775" s="10"/>
      <c r="D775" s="10"/>
      <c r="E775" s="11"/>
      <c r="F775" s="10"/>
      <c r="G775" s="10"/>
      <c r="H775" s="10"/>
      <c r="I775" s="10"/>
      <c r="J775" s="10"/>
      <c r="K775" s="12"/>
      <c r="L775" s="10"/>
      <c r="M775" s="10"/>
      <c r="N775" s="13"/>
      <c r="O775" s="10"/>
      <c r="P775" s="10"/>
      <c r="Q775" s="10"/>
      <c r="R775" s="18"/>
      <c r="S775" s="10"/>
      <c r="T775" s="10"/>
      <c r="U775" s="13"/>
      <c r="V775" s="13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3"/>
      <c r="AL775" s="14"/>
      <c r="AM775" s="15"/>
      <c r="AN775" s="15"/>
      <c r="AO775" s="13"/>
      <c r="AP775" s="13"/>
      <c r="AQ775" s="16"/>
      <c r="AR775" s="10"/>
      <c r="AS775" s="10"/>
      <c r="AT775" s="10"/>
      <c r="AU775" s="10"/>
      <c r="AV775" s="11"/>
      <c r="AW775" s="11"/>
      <c r="AX775" s="10"/>
      <c r="AY775" s="11"/>
      <c r="AZ775" s="11"/>
      <c r="BA775" s="11"/>
      <c r="BB775" s="10"/>
      <c r="BC775" s="11"/>
      <c r="BD775" s="11"/>
      <c r="BE775" s="11"/>
      <c r="BF775" s="11"/>
      <c r="BG775" s="11"/>
      <c r="BH775" s="11"/>
      <c r="BI775" s="11"/>
      <c r="BJ775" s="11"/>
      <c r="BK775" s="11"/>
      <c r="BL775" s="11"/>
      <c r="BM775" s="11"/>
      <c r="BN775" s="11"/>
      <c r="BO775" s="11"/>
      <c r="BP775" s="11"/>
      <c r="BQ775" s="11"/>
      <c r="BR775" s="11"/>
      <c r="BS775" s="11"/>
      <c r="BT775" s="11"/>
      <c r="BU775" s="11"/>
      <c r="BV775" s="11"/>
      <c r="BW775" s="11"/>
      <c r="BX775" s="11"/>
      <c r="BY775" s="11"/>
      <c r="BZ775" s="11"/>
      <c r="CA775" s="11"/>
      <c r="CB775" s="11"/>
      <c r="CC775" s="17"/>
      <c r="CD775" s="17"/>
      <c r="CE775" s="11"/>
      <c r="CF775" s="13"/>
      <c r="CG775" s="13"/>
      <c r="CH775" s="13"/>
      <c r="CI775" s="13"/>
      <c r="CJ775" s="13"/>
    </row>
    <row r="776" spans="1:88" s="9" customFormat="1" x14ac:dyDescent="0.25">
      <c r="A776" s="10"/>
      <c r="B776" s="10"/>
      <c r="C776" s="10"/>
      <c r="D776" s="10"/>
      <c r="E776" s="11"/>
      <c r="F776" s="10"/>
      <c r="G776" s="10"/>
      <c r="H776" s="10"/>
      <c r="I776" s="10"/>
      <c r="J776" s="10"/>
      <c r="K776" s="12"/>
      <c r="L776" s="10"/>
      <c r="M776" s="10"/>
      <c r="N776" s="13"/>
      <c r="O776" s="10"/>
      <c r="P776" s="10"/>
      <c r="Q776" s="10"/>
      <c r="R776" s="18"/>
      <c r="S776" s="10"/>
      <c r="T776" s="10"/>
      <c r="U776" s="13"/>
      <c r="V776" s="13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3"/>
      <c r="AL776" s="14"/>
      <c r="AM776" s="15"/>
      <c r="AN776" s="15"/>
      <c r="AO776" s="13"/>
      <c r="AP776" s="13"/>
      <c r="AQ776" s="16"/>
      <c r="AR776" s="10"/>
      <c r="AS776" s="10"/>
      <c r="AT776" s="10"/>
      <c r="AU776" s="10"/>
      <c r="AV776" s="11"/>
      <c r="AW776" s="11"/>
      <c r="AX776" s="10"/>
      <c r="AY776" s="11"/>
      <c r="AZ776" s="11"/>
      <c r="BA776" s="11"/>
      <c r="BB776" s="10"/>
      <c r="BC776" s="11"/>
      <c r="BD776" s="11"/>
      <c r="BE776" s="11"/>
      <c r="BF776" s="11"/>
      <c r="BG776" s="11"/>
      <c r="BH776" s="11"/>
      <c r="BI776" s="11"/>
      <c r="BJ776" s="11"/>
      <c r="BK776" s="11"/>
      <c r="BL776" s="11"/>
      <c r="BM776" s="11"/>
      <c r="BN776" s="11"/>
      <c r="BO776" s="11"/>
      <c r="BP776" s="11"/>
      <c r="BQ776" s="11"/>
      <c r="BR776" s="11"/>
      <c r="BS776" s="11"/>
      <c r="BT776" s="11"/>
      <c r="BU776" s="11"/>
      <c r="BV776" s="11"/>
      <c r="BW776" s="11"/>
      <c r="BX776" s="11"/>
      <c r="BY776" s="11"/>
      <c r="BZ776" s="11"/>
      <c r="CA776" s="11"/>
      <c r="CB776" s="11"/>
      <c r="CC776" s="17"/>
      <c r="CD776" s="17"/>
      <c r="CE776" s="11"/>
      <c r="CF776" s="13"/>
      <c r="CG776" s="13"/>
      <c r="CH776" s="13"/>
      <c r="CI776" s="13"/>
      <c r="CJ776" s="13"/>
    </row>
    <row r="777" spans="1:88" s="9" customFormat="1" x14ac:dyDescent="0.25">
      <c r="A777" s="10"/>
      <c r="B777" s="10"/>
      <c r="C777" s="10"/>
      <c r="D777" s="10"/>
      <c r="E777" s="11"/>
      <c r="F777" s="10"/>
      <c r="G777" s="10"/>
      <c r="H777" s="10"/>
      <c r="I777" s="10"/>
      <c r="J777" s="10"/>
      <c r="K777" s="12"/>
      <c r="L777" s="10"/>
      <c r="M777" s="10"/>
      <c r="N777" s="13"/>
      <c r="O777" s="10"/>
      <c r="P777" s="10"/>
      <c r="Q777" s="10"/>
      <c r="R777" s="18"/>
      <c r="S777" s="10"/>
      <c r="T777" s="10"/>
      <c r="U777" s="13"/>
      <c r="V777" s="13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3"/>
      <c r="AL777" s="14"/>
      <c r="AM777" s="15"/>
      <c r="AN777" s="15"/>
      <c r="AO777" s="13"/>
      <c r="AP777" s="13"/>
      <c r="AQ777" s="16"/>
      <c r="AR777" s="10"/>
      <c r="AS777" s="10"/>
      <c r="AT777" s="10"/>
      <c r="AU777" s="10"/>
      <c r="AV777" s="11"/>
      <c r="AW777" s="11"/>
      <c r="AX777" s="10"/>
      <c r="AY777" s="11"/>
      <c r="AZ777" s="11"/>
      <c r="BA777" s="11"/>
      <c r="BB777" s="10"/>
      <c r="BC777" s="11"/>
      <c r="BD777" s="11"/>
      <c r="BE777" s="11"/>
      <c r="BF777" s="11"/>
      <c r="BG777" s="11"/>
      <c r="BH777" s="11"/>
      <c r="BI777" s="11"/>
      <c r="BJ777" s="11"/>
      <c r="BK777" s="11"/>
      <c r="BL777" s="11"/>
      <c r="BM777" s="11"/>
      <c r="BN777" s="11"/>
      <c r="BO777" s="11"/>
      <c r="BP777" s="11"/>
      <c r="BQ777" s="11"/>
      <c r="BR777" s="11"/>
      <c r="BS777" s="11"/>
      <c r="BT777" s="11"/>
      <c r="BU777" s="11"/>
      <c r="BV777" s="11"/>
      <c r="BW777" s="11"/>
      <c r="BX777" s="11"/>
      <c r="BY777" s="11"/>
      <c r="BZ777" s="11"/>
      <c r="CA777" s="11"/>
      <c r="CB777" s="11"/>
      <c r="CC777" s="17"/>
      <c r="CD777" s="17"/>
      <c r="CE777" s="11"/>
      <c r="CF777" s="13"/>
      <c r="CG777" s="13"/>
      <c r="CH777" s="13"/>
      <c r="CI777" s="13"/>
      <c r="CJ777" s="13"/>
    </row>
    <row r="778" spans="1:88" s="9" customFormat="1" x14ac:dyDescent="0.25">
      <c r="A778" s="10"/>
      <c r="B778" s="10"/>
      <c r="C778" s="10"/>
      <c r="D778" s="10"/>
      <c r="E778" s="11"/>
      <c r="F778" s="10"/>
      <c r="G778" s="10"/>
      <c r="H778" s="10"/>
      <c r="I778" s="10"/>
      <c r="J778" s="10"/>
      <c r="K778" s="12"/>
      <c r="L778" s="10"/>
      <c r="M778" s="10"/>
      <c r="N778" s="13"/>
      <c r="O778" s="10"/>
      <c r="P778" s="10"/>
      <c r="Q778" s="10"/>
      <c r="R778" s="18"/>
      <c r="S778" s="10"/>
      <c r="T778" s="10"/>
      <c r="U778" s="13"/>
      <c r="V778" s="13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3"/>
      <c r="AL778" s="14"/>
      <c r="AM778" s="15"/>
      <c r="AN778" s="15"/>
      <c r="AO778" s="13"/>
      <c r="AP778" s="13"/>
      <c r="AQ778" s="16"/>
      <c r="AR778" s="10"/>
      <c r="AS778" s="10"/>
      <c r="AT778" s="10"/>
      <c r="AU778" s="10"/>
      <c r="AV778" s="11"/>
      <c r="AW778" s="11"/>
      <c r="AX778" s="10"/>
      <c r="AY778" s="11"/>
      <c r="AZ778" s="11"/>
      <c r="BA778" s="11"/>
      <c r="BB778" s="10"/>
      <c r="BC778" s="11"/>
      <c r="BD778" s="11"/>
      <c r="BE778" s="11"/>
      <c r="BF778" s="11"/>
      <c r="BG778" s="11"/>
      <c r="BH778" s="11"/>
      <c r="BI778" s="11"/>
      <c r="BJ778" s="11"/>
      <c r="BK778" s="11"/>
      <c r="BL778" s="11"/>
      <c r="BM778" s="11"/>
      <c r="BN778" s="11"/>
      <c r="BO778" s="11"/>
      <c r="BP778" s="11"/>
      <c r="BQ778" s="11"/>
      <c r="BR778" s="11"/>
      <c r="BS778" s="11"/>
      <c r="BT778" s="11"/>
      <c r="BU778" s="11"/>
      <c r="BV778" s="11"/>
      <c r="BW778" s="11"/>
      <c r="BX778" s="11"/>
      <c r="BY778" s="11"/>
      <c r="BZ778" s="11"/>
      <c r="CA778" s="11"/>
      <c r="CB778" s="11"/>
      <c r="CC778" s="17"/>
      <c r="CD778" s="17"/>
      <c r="CE778" s="11"/>
      <c r="CF778" s="13"/>
      <c r="CG778" s="13"/>
      <c r="CH778" s="13"/>
      <c r="CI778" s="13"/>
      <c r="CJ778" s="13"/>
    </row>
    <row r="779" spans="1:88" s="9" customFormat="1" x14ac:dyDescent="0.25">
      <c r="A779" s="10"/>
      <c r="B779" s="10"/>
      <c r="C779" s="10"/>
      <c r="D779" s="10"/>
      <c r="E779" s="11"/>
      <c r="F779" s="10"/>
      <c r="G779" s="10"/>
      <c r="H779" s="10"/>
      <c r="I779" s="10"/>
      <c r="J779" s="10"/>
      <c r="K779" s="12"/>
      <c r="L779" s="10"/>
      <c r="M779" s="10"/>
      <c r="N779" s="13"/>
      <c r="O779" s="10"/>
      <c r="P779" s="10"/>
      <c r="Q779" s="10"/>
      <c r="R779" s="18"/>
      <c r="S779" s="10"/>
      <c r="T779" s="10"/>
      <c r="U779" s="13"/>
      <c r="V779" s="13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3"/>
      <c r="AL779" s="14"/>
      <c r="AM779" s="15"/>
      <c r="AN779" s="15"/>
      <c r="AO779" s="13"/>
      <c r="AP779" s="13"/>
      <c r="AQ779" s="16"/>
      <c r="AR779" s="10"/>
      <c r="AS779" s="10"/>
      <c r="AT779" s="10"/>
      <c r="AU779" s="10"/>
      <c r="AV779" s="11"/>
      <c r="AW779" s="11"/>
      <c r="AX779" s="10"/>
      <c r="AY779" s="11"/>
      <c r="AZ779" s="11"/>
      <c r="BA779" s="11"/>
      <c r="BB779" s="10"/>
      <c r="BC779" s="11"/>
      <c r="BD779" s="11"/>
      <c r="BE779" s="11"/>
      <c r="BF779" s="11"/>
      <c r="BG779" s="11"/>
      <c r="BH779" s="11"/>
      <c r="BI779" s="11"/>
      <c r="BJ779" s="11"/>
      <c r="BK779" s="11"/>
      <c r="BL779" s="11"/>
      <c r="BM779" s="11"/>
      <c r="BN779" s="11"/>
      <c r="BO779" s="11"/>
      <c r="BP779" s="11"/>
      <c r="BQ779" s="11"/>
      <c r="BR779" s="11"/>
      <c r="BS779" s="11"/>
      <c r="BT779" s="11"/>
      <c r="BU779" s="11"/>
      <c r="BV779" s="11"/>
      <c r="BW779" s="11"/>
      <c r="BX779" s="11"/>
      <c r="BY779" s="11"/>
      <c r="BZ779" s="11"/>
      <c r="CA779" s="11"/>
      <c r="CB779" s="11"/>
      <c r="CC779" s="17"/>
      <c r="CD779" s="17"/>
      <c r="CE779" s="11"/>
      <c r="CF779" s="13"/>
      <c r="CG779" s="13"/>
      <c r="CH779" s="13"/>
      <c r="CI779" s="13"/>
      <c r="CJ779" s="13"/>
    </row>
    <row r="780" spans="1:88" s="9" customFormat="1" x14ac:dyDescent="0.25">
      <c r="A780" s="10"/>
      <c r="B780" s="10"/>
      <c r="C780" s="10"/>
      <c r="D780" s="10"/>
      <c r="E780" s="11"/>
      <c r="F780" s="10"/>
      <c r="G780" s="10"/>
      <c r="H780" s="10"/>
      <c r="I780" s="10"/>
      <c r="J780" s="10"/>
      <c r="K780" s="12"/>
      <c r="L780" s="10"/>
      <c r="M780" s="10"/>
      <c r="N780" s="13"/>
      <c r="O780" s="10"/>
      <c r="P780" s="10"/>
      <c r="Q780" s="10"/>
      <c r="R780" s="18"/>
      <c r="S780" s="10"/>
      <c r="T780" s="10"/>
      <c r="U780" s="13"/>
      <c r="V780" s="13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3"/>
      <c r="AL780" s="14"/>
      <c r="AM780" s="15"/>
      <c r="AN780" s="15"/>
      <c r="AO780" s="13"/>
      <c r="AP780" s="13"/>
      <c r="AQ780" s="16"/>
      <c r="AR780" s="10"/>
      <c r="AS780" s="10"/>
      <c r="AT780" s="10"/>
      <c r="AU780" s="10"/>
      <c r="AV780" s="11"/>
      <c r="AW780" s="11"/>
      <c r="AX780" s="10"/>
      <c r="AY780" s="11"/>
      <c r="AZ780" s="11"/>
      <c r="BA780" s="11"/>
      <c r="BB780" s="10"/>
      <c r="BC780" s="11"/>
      <c r="BD780" s="11"/>
      <c r="BE780" s="11"/>
      <c r="BF780" s="11"/>
      <c r="BG780" s="11"/>
      <c r="BH780" s="11"/>
      <c r="BI780" s="11"/>
      <c r="BJ780" s="11"/>
      <c r="BK780" s="11"/>
      <c r="BL780" s="11"/>
      <c r="BM780" s="11"/>
      <c r="BN780" s="11"/>
      <c r="BO780" s="11"/>
      <c r="BP780" s="11"/>
      <c r="BQ780" s="11"/>
      <c r="BR780" s="11"/>
      <c r="BS780" s="11"/>
      <c r="BT780" s="11"/>
      <c r="BU780" s="11"/>
      <c r="BV780" s="11"/>
      <c r="BW780" s="11"/>
      <c r="BX780" s="11"/>
      <c r="BY780" s="11"/>
      <c r="BZ780" s="11"/>
      <c r="CA780" s="11"/>
      <c r="CB780" s="11"/>
      <c r="CC780" s="17"/>
      <c r="CD780" s="17"/>
      <c r="CE780" s="11"/>
      <c r="CF780" s="13"/>
      <c r="CG780" s="13"/>
      <c r="CH780" s="13"/>
      <c r="CI780" s="13"/>
      <c r="CJ780" s="13"/>
    </row>
    <row r="781" spans="1:88" s="9" customFormat="1" x14ac:dyDescent="0.25">
      <c r="A781" s="10"/>
      <c r="B781" s="10"/>
      <c r="C781" s="10"/>
      <c r="D781" s="10"/>
      <c r="E781" s="11"/>
      <c r="F781" s="10"/>
      <c r="G781" s="10"/>
      <c r="H781" s="10"/>
      <c r="I781" s="10"/>
      <c r="J781" s="10"/>
      <c r="K781" s="12"/>
      <c r="L781" s="10"/>
      <c r="M781" s="10"/>
      <c r="N781" s="13"/>
      <c r="O781" s="10"/>
      <c r="P781" s="10"/>
      <c r="Q781" s="10"/>
      <c r="R781" s="18"/>
      <c r="S781" s="10"/>
      <c r="T781" s="10"/>
      <c r="U781" s="13"/>
      <c r="V781" s="13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3"/>
      <c r="AL781" s="14"/>
      <c r="AM781" s="15"/>
      <c r="AN781" s="15"/>
      <c r="AO781" s="13"/>
      <c r="AP781" s="13"/>
      <c r="AQ781" s="16"/>
      <c r="AR781" s="10"/>
      <c r="AS781" s="10"/>
      <c r="AT781" s="10"/>
      <c r="AU781" s="10"/>
      <c r="AV781" s="11"/>
      <c r="AW781" s="11"/>
      <c r="AX781" s="10"/>
      <c r="AY781" s="11"/>
      <c r="AZ781" s="11"/>
      <c r="BA781" s="11"/>
      <c r="BB781" s="10"/>
      <c r="BC781" s="11"/>
      <c r="BD781" s="11"/>
      <c r="BE781" s="11"/>
      <c r="BF781" s="11"/>
      <c r="BG781" s="11"/>
      <c r="BH781" s="11"/>
      <c r="BI781" s="11"/>
      <c r="BJ781" s="11"/>
      <c r="BK781" s="11"/>
      <c r="BL781" s="11"/>
      <c r="BM781" s="11"/>
      <c r="BN781" s="11"/>
      <c r="BO781" s="11"/>
      <c r="BP781" s="11"/>
      <c r="BQ781" s="11"/>
      <c r="BR781" s="11"/>
      <c r="BS781" s="11"/>
      <c r="BT781" s="11"/>
      <c r="BU781" s="11"/>
      <c r="BV781" s="11"/>
      <c r="BW781" s="11"/>
      <c r="BX781" s="11"/>
      <c r="BY781" s="11"/>
      <c r="BZ781" s="11"/>
      <c r="CA781" s="11"/>
      <c r="CB781" s="11"/>
      <c r="CC781" s="17"/>
      <c r="CD781" s="17"/>
      <c r="CE781" s="11"/>
      <c r="CF781" s="13"/>
      <c r="CG781" s="13"/>
      <c r="CH781" s="13"/>
      <c r="CI781" s="13"/>
      <c r="CJ781" s="13"/>
    </row>
    <row r="782" spans="1:88" s="9" customFormat="1" x14ac:dyDescent="0.25">
      <c r="A782" s="10"/>
      <c r="B782" s="10"/>
      <c r="C782" s="10"/>
      <c r="D782" s="10"/>
      <c r="E782" s="11"/>
      <c r="F782" s="10"/>
      <c r="G782" s="10"/>
      <c r="H782" s="10"/>
      <c r="I782" s="10"/>
      <c r="J782" s="10"/>
      <c r="K782" s="12"/>
      <c r="L782" s="10"/>
      <c r="M782" s="10"/>
      <c r="N782" s="13"/>
      <c r="O782" s="10"/>
      <c r="P782" s="10"/>
      <c r="Q782" s="10"/>
      <c r="R782" s="18"/>
      <c r="S782" s="10"/>
      <c r="T782" s="10"/>
      <c r="U782" s="13"/>
      <c r="V782" s="13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3"/>
      <c r="AL782" s="14"/>
      <c r="AM782" s="15"/>
      <c r="AN782" s="15"/>
      <c r="AO782" s="13"/>
      <c r="AP782" s="13"/>
      <c r="AQ782" s="16"/>
      <c r="AR782" s="10"/>
      <c r="AS782" s="10"/>
      <c r="AT782" s="10"/>
      <c r="AU782" s="10"/>
      <c r="AV782" s="11"/>
      <c r="AW782" s="11"/>
      <c r="AX782" s="10"/>
      <c r="AY782" s="11"/>
      <c r="AZ782" s="11"/>
      <c r="BA782" s="11"/>
      <c r="BB782" s="10"/>
      <c r="BC782" s="11"/>
      <c r="BD782" s="11"/>
      <c r="BE782" s="11"/>
      <c r="BF782" s="11"/>
      <c r="BG782" s="11"/>
      <c r="BH782" s="11"/>
      <c r="BI782" s="11"/>
      <c r="BJ782" s="11"/>
      <c r="BK782" s="11"/>
      <c r="BL782" s="11"/>
      <c r="BM782" s="11"/>
      <c r="BN782" s="11"/>
      <c r="BO782" s="11"/>
      <c r="BP782" s="11"/>
      <c r="BQ782" s="11"/>
      <c r="BR782" s="11"/>
      <c r="BS782" s="11"/>
      <c r="BT782" s="11"/>
      <c r="BU782" s="11"/>
      <c r="BV782" s="11"/>
      <c r="BW782" s="11"/>
      <c r="BX782" s="11"/>
      <c r="BY782" s="11"/>
      <c r="BZ782" s="11"/>
      <c r="CA782" s="11"/>
      <c r="CB782" s="11"/>
      <c r="CC782" s="17"/>
      <c r="CD782" s="17"/>
      <c r="CE782" s="11"/>
      <c r="CF782" s="13"/>
      <c r="CG782" s="13"/>
      <c r="CH782" s="13"/>
      <c r="CI782" s="13"/>
      <c r="CJ782" s="13"/>
    </row>
    <row r="783" spans="1:88" s="9" customFormat="1" x14ac:dyDescent="0.25">
      <c r="A783" s="10"/>
      <c r="B783" s="10"/>
      <c r="C783" s="10"/>
      <c r="D783" s="10"/>
      <c r="E783" s="11"/>
      <c r="F783" s="10"/>
      <c r="G783" s="10"/>
      <c r="H783" s="10"/>
      <c r="I783" s="10"/>
      <c r="J783" s="10"/>
      <c r="K783" s="12"/>
      <c r="L783" s="10"/>
      <c r="M783" s="10"/>
      <c r="N783" s="13"/>
      <c r="O783" s="10"/>
      <c r="P783" s="10"/>
      <c r="Q783" s="10"/>
      <c r="R783" s="18"/>
      <c r="S783" s="10"/>
      <c r="T783" s="10"/>
      <c r="U783" s="13"/>
      <c r="V783" s="13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3"/>
      <c r="AL783" s="14"/>
      <c r="AM783" s="15"/>
      <c r="AN783" s="15"/>
      <c r="AO783" s="13"/>
      <c r="AP783" s="13"/>
      <c r="AQ783" s="16"/>
      <c r="AR783" s="10"/>
      <c r="AS783" s="10"/>
      <c r="AT783" s="10"/>
      <c r="AU783" s="10"/>
      <c r="AV783" s="11"/>
      <c r="AW783" s="11"/>
      <c r="AX783" s="10"/>
      <c r="AY783" s="11"/>
      <c r="AZ783" s="11"/>
      <c r="BA783" s="11"/>
      <c r="BB783" s="10"/>
      <c r="BC783" s="11"/>
      <c r="BD783" s="11"/>
      <c r="BE783" s="11"/>
      <c r="BF783" s="11"/>
      <c r="BG783" s="11"/>
      <c r="BH783" s="11"/>
      <c r="BI783" s="11"/>
      <c r="BJ783" s="11"/>
      <c r="BK783" s="11"/>
      <c r="BL783" s="11"/>
      <c r="BM783" s="11"/>
      <c r="BN783" s="11"/>
      <c r="BO783" s="11"/>
      <c r="BP783" s="11"/>
      <c r="BQ783" s="11"/>
      <c r="BR783" s="11"/>
      <c r="BS783" s="11"/>
      <c r="BT783" s="11"/>
      <c r="BU783" s="11"/>
      <c r="BV783" s="11"/>
      <c r="BW783" s="11"/>
      <c r="BX783" s="11"/>
      <c r="BY783" s="11"/>
      <c r="BZ783" s="11"/>
      <c r="CA783" s="11"/>
      <c r="CB783" s="11"/>
      <c r="CC783" s="17"/>
      <c r="CD783" s="17"/>
      <c r="CE783" s="11"/>
      <c r="CF783" s="13"/>
      <c r="CG783" s="13"/>
      <c r="CH783" s="13"/>
      <c r="CI783" s="13"/>
      <c r="CJ783" s="13"/>
    </row>
    <row r="784" spans="1:88" s="9" customFormat="1" x14ac:dyDescent="0.25">
      <c r="A784" s="10"/>
      <c r="B784" s="10"/>
      <c r="C784" s="10"/>
      <c r="D784" s="10"/>
      <c r="E784" s="11"/>
      <c r="F784" s="10"/>
      <c r="G784" s="10"/>
      <c r="H784" s="10"/>
      <c r="I784" s="10"/>
      <c r="J784" s="10"/>
      <c r="K784" s="12"/>
      <c r="L784" s="10"/>
      <c r="M784" s="10"/>
      <c r="N784" s="13"/>
      <c r="O784" s="10"/>
      <c r="P784" s="10"/>
      <c r="Q784" s="10"/>
      <c r="R784" s="18"/>
      <c r="S784" s="10"/>
      <c r="T784" s="10"/>
      <c r="U784" s="13"/>
      <c r="V784" s="13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3"/>
      <c r="AL784" s="14"/>
      <c r="AM784" s="15"/>
      <c r="AN784" s="15"/>
      <c r="AO784" s="13"/>
      <c r="AP784" s="13"/>
      <c r="AQ784" s="16"/>
      <c r="AR784" s="10"/>
      <c r="AS784" s="10"/>
      <c r="AT784" s="10"/>
      <c r="AU784" s="10"/>
      <c r="AV784" s="11"/>
      <c r="AW784" s="11"/>
      <c r="AX784" s="10"/>
      <c r="AY784" s="11"/>
      <c r="AZ784" s="11"/>
      <c r="BA784" s="11"/>
      <c r="BB784" s="10"/>
      <c r="BC784" s="11"/>
      <c r="BD784" s="11"/>
      <c r="BE784" s="11"/>
      <c r="BF784" s="11"/>
      <c r="BG784" s="11"/>
      <c r="BH784" s="11"/>
      <c r="BI784" s="11"/>
      <c r="BJ784" s="11"/>
      <c r="BK784" s="11"/>
      <c r="BL784" s="11"/>
      <c r="BM784" s="11"/>
      <c r="BN784" s="11"/>
      <c r="BO784" s="11"/>
      <c r="BP784" s="11"/>
      <c r="BQ784" s="11"/>
      <c r="BR784" s="11"/>
      <c r="BS784" s="11"/>
      <c r="BT784" s="11"/>
      <c r="BU784" s="11"/>
      <c r="BV784" s="11"/>
      <c r="BW784" s="11"/>
      <c r="BX784" s="11"/>
      <c r="BY784" s="11"/>
      <c r="BZ784" s="11"/>
      <c r="CA784" s="11"/>
      <c r="CB784" s="11"/>
      <c r="CC784" s="17"/>
      <c r="CD784" s="17"/>
      <c r="CE784" s="11"/>
      <c r="CF784" s="13"/>
      <c r="CG784" s="13"/>
      <c r="CH784" s="13"/>
      <c r="CI784" s="13"/>
      <c r="CJ784" s="13"/>
    </row>
    <row r="785" spans="1:88" s="9" customFormat="1" x14ac:dyDescent="0.25">
      <c r="A785" s="10"/>
      <c r="B785" s="10"/>
      <c r="C785" s="10"/>
      <c r="D785" s="10"/>
      <c r="E785" s="11"/>
      <c r="F785" s="10"/>
      <c r="G785" s="10"/>
      <c r="H785" s="10"/>
      <c r="I785" s="10"/>
      <c r="J785" s="10"/>
      <c r="K785" s="12"/>
      <c r="L785" s="10"/>
      <c r="M785" s="10"/>
      <c r="N785" s="13"/>
      <c r="O785" s="10"/>
      <c r="P785" s="10"/>
      <c r="Q785" s="10"/>
      <c r="R785" s="18"/>
      <c r="S785" s="10"/>
      <c r="T785" s="10"/>
      <c r="U785" s="13"/>
      <c r="V785" s="13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3"/>
      <c r="AL785" s="14"/>
      <c r="AM785" s="15"/>
      <c r="AN785" s="15"/>
      <c r="AO785" s="13"/>
      <c r="AP785" s="13"/>
      <c r="AQ785" s="16"/>
      <c r="AR785" s="10"/>
      <c r="AS785" s="10"/>
      <c r="AT785" s="10"/>
      <c r="AU785" s="10"/>
      <c r="AV785" s="11"/>
      <c r="AW785" s="11"/>
      <c r="AX785" s="10"/>
      <c r="AY785" s="11"/>
      <c r="AZ785" s="11"/>
      <c r="BA785" s="11"/>
      <c r="BB785" s="10"/>
      <c r="BC785" s="11"/>
      <c r="BD785" s="11"/>
      <c r="BE785" s="11"/>
      <c r="BF785" s="11"/>
      <c r="BG785" s="11"/>
      <c r="BH785" s="11"/>
      <c r="BI785" s="11"/>
      <c r="BJ785" s="11"/>
      <c r="BK785" s="11"/>
      <c r="BL785" s="11"/>
      <c r="BM785" s="11"/>
      <c r="BN785" s="11"/>
      <c r="BO785" s="11"/>
      <c r="BP785" s="11"/>
      <c r="BQ785" s="11"/>
      <c r="BR785" s="11"/>
      <c r="BS785" s="11"/>
      <c r="BT785" s="11"/>
      <c r="BU785" s="11"/>
      <c r="BV785" s="11"/>
      <c r="BW785" s="11"/>
      <c r="BX785" s="11"/>
      <c r="BY785" s="11"/>
      <c r="BZ785" s="11"/>
      <c r="CA785" s="11"/>
      <c r="CB785" s="11"/>
      <c r="CC785" s="17"/>
      <c r="CD785" s="17"/>
      <c r="CE785" s="11"/>
      <c r="CF785" s="13"/>
      <c r="CG785" s="13"/>
      <c r="CH785" s="13"/>
      <c r="CI785" s="13"/>
      <c r="CJ785" s="13"/>
    </row>
    <row r="786" spans="1:88" s="9" customFormat="1" x14ac:dyDescent="0.25">
      <c r="A786" s="10"/>
      <c r="B786" s="10"/>
      <c r="C786" s="10"/>
      <c r="D786" s="10"/>
      <c r="E786" s="11"/>
      <c r="F786" s="10"/>
      <c r="G786" s="10"/>
      <c r="H786" s="10"/>
      <c r="I786" s="10"/>
      <c r="J786" s="10"/>
      <c r="K786" s="12"/>
      <c r="L786" s="10"/>
      <c r="M786" s="10"/>
      <c r="N786" s="13"/>
      <c r="O786" s="10"/>
      <c r="P786" s="10"/>
      <c r="Q786" s="10"/>
      <c r="R786" s="18"/>
      <c r="S786" s="10"/>
      <c r="T786" s="10"/>
      <c r="U786" s="13"/>
      <c r="V786" s="13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3"/>
      <c r="AL786" s="14"/>
      <c r="AM786" s="15"/>
      <c r="AN786" s="15"/>
      <c r="AO786" s="13"/>
      <c r="AP786" s="13"/>
      <c r="AQ786" s="16"/>
      <c r="AR786" s="10"/>
      <c r="AS786" s="10"/>
      <c r="AT786" s="10"/>
      <c r="AU786" s="10"/>
      <c r="AV786" s="11"/>
      <c r="AW786" s="11"/>
      <c r="AX786" s="10"/>
      <c r="AY786" s="11"/>
      <c r="AZ786" s="11"/>
      <c r="BA786" s="11"/>
      <c r="BB786" s="10"/>
      <c r="BC786" s="11"/>
      <c r="BD786" s="11"/>
      <c r="BE786" s="11"/>
      <c r="BF786" s="11"/>
      <c r="BG786" s="11"/>
      <c r="BH786" s="11"/>
      <c r="BI786" s="11"/>
      <c r="BJ786" s="11"/>
      <c r="BK786" s="11"/>
      <c r="BL786" s="11"/>
      <c r="BM786" s="11"/>
      <c r="BN786" s="11"/>
      <c r="BO786" s="11"/>
      <c r="BP786" s="11"/>
      <c r="BQ786" s="11"/>
      <c r="BR786" s="11"/>
      <c r="BS786" s="11"/>
      <c r="BT786" s="11"/>
      <c r="BU786" s="11"/>
      <c r="BV786" s="11"/>
      <c r="BW786" s="11"/>
      <c r="BX786" s="11"/>
      <c r="BY786" s="11"/>
      <c r="BZ786" s="11"/>
      <c r="CA786" s="11"/>
      <c r="CB786" s="11"/>
      <c r="CC786" s="17"/>
      <c r="CD786" s="17"/>
      <c r="CE786" s="11"/>
      <c r="CF786" s="13"/>
      <c r="CG786" s="13"/>
      <c r="CH786" s="13"/>
      <c r="CI786" s="13"/>
      <c r="CJ786" s="13"/>
    </row>
    <row r="787" spans="1:88" s="9" customFormat="1" x14ac:dyDescent="0.25">
      <c r="A787" s="10"/>
      <c r="B787" s="10"/>
      <c r="C787" s="10"/>
      <c r="D787" s="10"/>
      <c r="E787" s="11"/>
      <c r="F787" s="10"/>
      <c r="G787" s="10"/>
      <c r="H787" s="10"/>
      <c r="I787" s="10"/>
      <c r="J787" s="10"/>
      <c r="K787" s="12"/>
      <c r="L787" s="10"/>
      <c r="M787" s="10"/>
      <c r="N787" s="13"/>
      <c r="O787" s="10"/>
      <c r="P787" s="10"/>
      <c r="Q787" s="10"/>
      <c r="R787" s="18"/>
      <c r="S787" s="10"/>
      <c r="T787" s="10"/>
      <c r="U787" s="13"/>
      <c r="V787" s="13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3"/>
      <c r="AL787" s="14"/>
      <c r="AM787" s="15"/>
      <c r="AN787" s="15"/>
      <c r="AO787" s="13"/>
      <c r="AP787" s="13"/>
      <c r="AQ787" s="16"/>
      <c r="AR787" s="10"/>
      <c r="AS787" s="10"/>
      <c r="AT787" s="10"/>
      <c r="AU787" s="10"/>
      <c r="AV787" s="11"/>
      <c r="AW787" s="11"/>
      <c r="AX787" s="10"/>
      <c r="AY787" s="11"/>
      <c r="AZ787" s="11"/>
      <c r="BA787" s="11"/>
      <c r="BB787" s="10"/>
      <c r="BC787" s="11"/>
      <c r="BD787" s="11"/>
      <c r="BE787" s="11"/>
      <c r="BF787" s="11"/>
      <c r="BG787" s="11"/>
      <c r="BH787" s="11"/>
      <c r="BI787" s="11"/>
      <c r="BJ787" s="11"/>
      <c r="BK787" s="11"/>
      <c r="BL787" s="11"/>
      <c r="BM787" s="11"/>
      <c r="BN787" s="11"/>
      <c r="BO787" s="11"/>
      <c r="BP787" s="11"/>
      <c r="BQ787" s="11"/>
      <c r="BR787" s="11"/>
      <c r="BS787" s="11"/>
      <c r="BT787" s="11"/>
      <c r="BU787" s="11"/>
      <c r="BV787" s="11"/>
      <c r="BW787" s="11"/>
      <c r="BX787" s="11"/>
      <c r="BY787" s="11"/>
      <c r="BZ787" s="11"/>
      <c r="CA787" s="11"/>
      <c r="CB787" s="11"/>
      <c r="CC787" s="17"/>
      <c r="CD787" s="17"/>
      <c r="CE787" s="11"/>
      <c r="CF787" s="13"/>
      <c r="CG787" s="13"/>
      <c r="CH787" s="13"/>
      <c r="CI787" s="13"/>
      <c r="CJ787" s="13"/>
    </row>
    <row r="788" spans="1:88" s="9" customFormat="1" x14ac:dyDescent="0.25">
      <c r="A788" s="10"/>
      <c r="B788" s="10"/>
      <c r="C788" s="10"/>
      <c r="D788" s="10"/>
      <c r="E788" s="11"/>
      <c r="F788" s="10"/>
      <c r="G788" s="10"/>
      <c r="H788" s="10"/>
      <c r="I788" s="10"/>
      <c r="J788" s="10"/>
      <c r="K788" s="12"/>
      <c r="L788" s="10"/>
      <c r="M788" s="10"/>
      <c r="N788" s="13"/>
      <c r="O788" s="10"/>
      <c r="P788" s="10"/>
      <c r="Q788" s="10"/>
      <c r="R788" s="18"/>
      <c r="S788" s="10"/>
      <c r="T788" s="10"/>
      <c r="U788" s="13"/>
      <c r="V788" s="13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3"/>
      <c r="AL788" s="14"/>
      <c r="AM788" s="15"/>
      <c r="AN788" s="15"/>
      <c r="AO788" s="13"/>
      <c r="AP788" s="13"/>
      <c r="AQ788" s="16"/>
      <c r="AR788" s="10"/>
      <c r="AS788" s="10"/>
      <c r="AT788" s="10"/>
      <c r="AU788" s="10"/>
      <c r="AV788" s="11"/>
      <c r="AW788" s="11"/>
      <c r="AX788" s="10"/>
      <c r="AY788" s="11"/>
      <c r="AZ788" s="11"/>
      <c r="BA788" s="11"/>
      <c r="BB788" s="10"/>
      <c r="BC788" s="11"/>
      <c r="BD788" s="11"/>
      <c r="BE788" s="11"/>
      <c r="BF788" s="11"/>
      <c r="BG788" s="11"/>
      <c r="BH788" s="11"/>
      <c r="BI788" s="11"/>
      <c r="BJ788" s="11"/>
      <c r="BK788" s="11"/>
      <c r="BL788" s="11"/>
      <c r="BM788" s="11"/>
      <c r="BN788" s="11"/>
      <c r="BO788" s="11"/>
      <c r="BP788" s="11"/>
      <c r="BQ788" s="11"/>
      <c r="BR788" s="11"/>
      <c r="BS788" s="11"/>
      <c r="BT788" s="11"/>
      <c r="BU788" s="11"/>
      <c r="BV788" s="11"/>
      <c r="BW788" s="11"/>
      <c r="BX788" s="11"/>
      <c r="BY788" s="11"/>
      <c r="BZ788" s="11"/>
      <c r="CA788" s="11"/>
      <c r="CB788" s="11"/>
      <c r="CC788" s="17"/>
      <c r="CD788" s="17"/>
      <c r="CE788" s="11"/>
      <c r="CF788" s="13"/>
      <c r="CG788" s="13"/>
      <c r="CH788" s="13"/>
      <c r="CI788" s="13"/>
      <c r="CJ788" s="13"/>
    </row>
    <row r="789" spans="1:88" s="9" customFormat="1" x14ac:dyDescent="0.25">
      <c r="A789" s="10"/>
      <c r="B789" s="10"/>
      <c r="C789" s="10"/>
      <c r="D789" s="10"/>
      <c r="E789" s="11"/>
      <c r="F789" s="10"/>
      <c r="G789" s="10"/>
      <c r="H789" s="10"/>
      <c r="I789" s="10"/>
      <c r="J789" s="10"/>
      <c r="K789" s="12"/>
      <c r="L789" s="10"/>
      <c r="M789" s="10"/>
      <c r="N789" s="13"/>
      <c r="O789" s="10"/>
      <c r="P789" s="10"/>
      <c r="Q789" s="10"/>
      <c r="R789" s="18"/>
      <c r="S789" s="10"/>
      <c r="T789" s="10"/>
      <c r="U789" s="13"/>
      <c r="V789" s="13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3"/>
      <c r="AL789" s="14"/>
      <c r="AM789" s="15"/>
      <c r="AN789" s="15"/>
      <c r="AO789" s="13"/>
      <c r="AP789" s="13"/>
      <c r="AQ789" s="16"/>
      <c r="AR789" s="10"/>
      <c r="AS789" s="10"/>
      <c r="AT789" s="10"/>
      <c r="AU789" s="10"/>
      <c r="AV789" s="11"/>
      <c r="AW789" s="11"/>
      <c r="AX789" s="10"/>
      <c r="AY789" s="11"/>
      <c r="AZ789" s="11"/>
      <c r="BA789" s="11"/>
      <c r="BB789" s="10"/>
      <c r="BC789" s="11"/>
      <c r="BD789" s="11"/>
      <c r="BE789" s="11"/>
      <c r="BF789" s="11"/>
      <c r="BG789" s="11"/>
      <c r="BH789" s="11"/>
      <c r="BI789" s="11"/>
      <c r="BJ789" s="11"/>
      <c r="BK789" s="11"/>
      <c r="BL789" s="11"/>
      <c r="BM789" s="11"/>
      <c r="BN789" s="11"/>
      <c r="BO789" s="11"/>
      <c r="BP789" s="11"/>
      <c r="BQ789" s="11"/>
      <c r="BR789" s="11"/>
      <c r="BS789" s="11"/>
      <c r="BT789" s="11"/>
      <c r="BU789" s="11"/>
      <c r="BV789" s="11"/>
      <c r="BW789" s="11"/>
      <c r="BX789" s="11"/>
      <c r="BY789" s="11"/>
      <c r="BZ789" s="11"/>
      <c r="CA789" s="11"/>
      <c r="CB789" s="11"/>
      <c r="CC789" s="17"/>
      <c r="CD789" s="17"/>
      <c r="CE789" s="11"/>
      <c r="CF789" s="13"/>
      <c r="CG789" s="13"/>
      <c r="CH789" s="13"/>
      <c r="CI789" s="13"/>
      <c r="CJ789" s="13"/>
    </row>
    <row r="790" spans="1:88" s="9" customFormat="1" x14ac:dyDescent="0.25">
      <c r="A790" s="10"/>
      <c r="B790" s="10"/>
      <c r="C790" s="10"/>
      <c r="D790" s="10"/>
      <c r="E790" s="11"/>
      <c r="F790" s="10"/>
      <c r="G790" s="10"/>
      <c r="H790" s="10"/>
      <c r="I790" s="10"/>
      <c r="J790" s="10"/>
      <c r="K790" s="12"/>
      <c r="L790" s="10"/>
      <c r="M790" s="10"/>
      <c r="N790" s="13"/>
      <c r="O790" s="10"/>
      <c r="P790" s="10"/>
      <c r="Q790" s="10"/>
      <c r="R790" s="18"/>
      <c r="S790" s="10"/>
      <c r="T790" s="10"/>
      <c r="U790" s="13"/>
      <c r="V790" s="13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3"/>
      <c r="AL790" s="14"/>
      <c r="AM790" s="15"/>
      <c r="AN790" s="15"/>
      <c r="AO790" s="13"/>
      <c r="AP790" s="13"/>
      <c r="AQ790" s="16"/>
      <c r="AR790" s="10"/>
      <c r="AS790" s="10"/>
      <c r="AT790" s="10"/>
      <c r="AU790" s="10"/>
      <c r="AV790" s="11"/>
      <c r="AW790" s="11"/>
      <c r="AX790" s="10"/>
      <c r="AY790" s="11"/>
      <c r="AZ790" s="11"/>
      <c r="BA790" s="11"/>
      <c r="BB790" s="10"/>
      <c r="BC790" s="11"/>
      <c r="BD790" s="11"/>
      <c r="BE790" s="11"/>
      <c r="BF790" s="11"/>
      <c r="BG790" s="11"/>
      <c r="BH790" s="11"/>
      <c r="BI790" s="11"/>
      <c r="BJ790" s="11"/>
      <c r="BK790" s="11"/>
      <c r="BL790" s="11"/>
      <c r="BM790" s="11"/>
      <c r="BN790" s="11"/>
      <c r="BO790" s="11"/>
      <c r="BP790" s="11"/>
      <c r="BQ790" s="11"/>
      <c r="BR790" s="11"/>
      <c r="BS790" s="11"/>
      <c r="BT790" s="11"/>
      <c r="BU790" s="11"/>
      <c r="BV790" s="11"/>
      <c r="BW790" s="11"/>
      <c r="BX790" s="11"/>
      <c r="BY790" s="11"/>
      <c r="BZ790" s="11"/>
      <c r="CA790" s="11"/>
      <c r="CB790" s="11"/>
      <c r="CC790" s="17"/>
      <c r="CD790" s="17"/>
      <c r="CE790" s="11"/>
      <c r="CF790" s="13"/>
      <c r="CG790" s="13"/>
      <c r="CH790" s="13"/>
      <c r="CI790" s="13"/>
      <c r="CJ790" s="13"/>
    </row>
    <row r="791" spans="1:88" s="9" customFormat="1" x14ac:dyDescent="0.25">
      <c r="A791" s="10"/>
      <c r="B791" s="10"/>
      <c r="C791" s="10"/>
      <c r="D791" s="10"/>
      <c r="E791" s="11"/>
      <c r="F791" s="10"/>
      <c r="G791" s="10"/>
      <c r="H791" s="10"/>
      <c r="I791" s="10"/>
      <c r="J791" s="10"/>
      <c r="K791" s="12"/>
      <c r="L791" s="10"/>
      <c r="M791" s="10"/>
      <c r="N791" s="13"/>
      <c r="O791" s="10"/>
      <c r="P791" s="10"/>
      <c r="Q791" s="10"/>
      <c r="R791" s="18"/>
      <c r="S791" s="10"/>
      <c r="T791" s="10"/>
      <c r="U791" s="13"/>
      <c r="V791" s="13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3"/>
      <c r="AL791" s="14"/>
      <c r="AM791" s="15"/>
      <c r="AN791" s="15"/>
      <c r="AO791" s="13"/>
      <c r="AP791" s="13"/>
      <c r="AQ791" s="16"/>
      <c r="AR791" s="10"/>
      <c r="AS791" s="10"/>
      <c r="AT791" s="10"/>
      <c r="AU791" s="10"/>
      <c r="AV791" s="11"/>
      <c r="AW791" s="11"/>
      <c r="AX791" s="10"/>
      <c r="AY791" s="11"/>
      <c r="AZ791" s="11"/>
      <c r="BA791" s="11"/>
      <c r="BB791" s="10"/>
      <c r="BC791" s="11"/>
      <c r="BD791" s="11"/>
      <c r="BE791" s="11"/>
      <c r="BF791" s="11"/>
      <c r="BG791" s="11"/>
      <c r="BH791" s="11"/>
      <c r="BI791" s="11"/>
      <c r="BJ791" s="11"/>
      <c r="BK791" s="11"/>
      <c r="BL791" s="11"/>
      <c r="BM791" s="11"/>
      <c r="BN791" s="11"/>
      <c r="BO791" s="11"/>
      <c r="BP791" s="11"/>
      <c r="BQ791" s="11"/>
      <c r="BR791" s="11"/>
      <c r="BS791" s="11"/>
      <c r="BT791" s="11"/>
      <c r="BU791" s="11"/>
      <c r="BV791" s="11"/>
      <c r="BW791" s="11"/>
      <c r="BX791" s="11"/>
      <c r="BY791" s="11"/>
      <c r="BZ791" s="11"/>
      <c r="CA791" s="11"/>
      <c r="CB791" s="11"/>
      <c r="CC791" s="17"/>
      <c r="CD791" s="17"/>
      <c r="CE791" s="11"/>
      <c r="CF791" s="13"/>
      <c r="CG791" s="13"/>
      <c r="CH791" s="13"/>
      <c r="CI791" s="13"/>
      <c r="CJ791" s="13"/>
    </row>
    <row r="792" spans="1:88" s="9" customFormat="1" x14ac:dyDescent="0.25">
      <c r="A792" s="10"/>
      <c r="B792" s="10"/>
      <c r="C792" s="10"/>
      <c r="D792" s="10"/>
      <c r="E792" s="11"/>
      <c r="F792" s="10"/>
      <c r="G792" s="10"/>
      <c r="H792" s="10"/>
      <c r="I792" s="10"/>
      <c r="J792" s="10"/>
      <c r="K792" s="12"/>
      <c r="L792" s="10"/>
      <c r="M792" s="10"/>
      <c r="N792" s="13"/>
      <c r="O792" s="10"/>
      <c r="P792" s="10"/>
      <c r="Q792" s="10"/>
      <c r="R792" s="18"/>
      <c r="S792" s="10"/>
      <c r="T792" s="10"/>
      <c r="U792" s="13"/>
      <c r="V792" s="13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3"/>
      <c r="AL792" s="14"/>
      <c r="AM792" s="15"/>
      <c r="AN792" s="15"/>
      <c r="AO792" s="13"/>
      <c r="AP792" s="13"/>
      <c r="AQ792" s="16"/>
      <c r="AR792" s="10"/>
      <c r="AS792" s="10"/>
      <c r="AT792" s="10"/>
      <c r="AU792" s="10"/>
      <c r="AV792" s="11"/>
      <c r="AW792" s="11"/>
      <c r="AX792" s="10"/>
      <c r="AY792" s="11"/>
      <c r="AZ792" s="11"/>
      <c r="BA792" s="11"/>
      <c r="BB792" s="10"/>
      <c r="BC792" s="11"/>
      <c r="BD792" s="11"/>
      <c r="BE792" s="11"/>
      <c r="BF792" s="11"/>
      <c r="BG792" s="11"/>
      <c r="BH792" s="11"/>
      <c r="BI792" s="11"/>
      <c r="BJ792" s="11"/>
      <c r="BK792" s="11"/>
      <c r="BL792" s="11"/>
      <c r="BM792" s="11"/>
      <c r="BN792" s="11"/>
      <c r="BO792" s="11"/>
      <c r="BP792" s="11"/>
      <c r="BQ792" s="11"/>
      <c r="BR792" s="11"/>
      <c r="BS792" s="11"/>
      <c r="BT792" s="11"/>
      <c r="BU792" s="11"/>
      <c r="BV792" s="11"/>
      <c r="BW792" s="11"/>
      <c r="BX792" s="11"/>
      <c r="BY792" s="11"/>
      <c r="BZ792" s="11"/>
      <c r="CA792" s="11"/>
      <c r="CB792" s="11"/>
      <c r="CC792" s="17"/>
      <c r="CD792" s="17"/>
      <c r="CE792" s="11"/>
      <c r="CF792" s="13"/>
      <c r="CG792" s="13"/>
      <c r="CH792" s="13"/>
      <c r="CI792" s="13"/>
      <c r="CJ792" s="13"/>
    </row>
    <row r="793" spans="1:88" s="9" customFormat="1" x14ac:dyDescent="0.25">
      <c r="A793" s="10"/>
      <c r="B793" s="10"/>
      <c r="C793" s="10"/>
      <c r="D793" s="10"/>
      <c r="E793" s="11"/>
      <c r="F793" s="10"/>
      <c r="G793" s="10"/>
      <c r="H793" s="10"/>
      <c r="I793" s="10"/>
      <c r="J793" s="10"/>
      <c r="K793" s="12"/>
      <c r="L793" s="10"/>
      <c r="M793" s="10"/>
      <c r="N793" s="13"/>
      <c r="O793" s="10"/>
      <c r="P793" s="10"/>
      <c r="Q793" s="10"/>
      <c r="R793" s="18"/>
      <c r="S793" s="10"/>
      <c r="T793" s="10"/>
      <c r="U793" s="13"/>
      <c r="V793" s="13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3"/>
      <c r="AL793" s="14"/>
      <c r="AM793" s="15"/>
      <c r="AN793" s="15"/>
      <c r="AO793" s="13"/>
      <c r="AP793" s="13"/>
      <c r="AQ793" s="16"/>
      <c r="AR793" s="10"/>
      <c r="AS793" s="10"/>
      <c r="AT793" s="10"/>
      <c r="AU793" s="10"/>
      <c r="AV793" s="11"/>
      <c r="AW793" s="11"/>
      <c r="AX793" s="10"/>
      <c r="AY793" s="11"/>
      <c r="AZ793" s="11"/>
      <c r="BA793" s="11"/>
      <c r="BB793" s="10"/>
      <c r="BC793" s="11"/>
      <c r="BD793" s="11"/>
      <c r="BE793" s="11"/>
      <c r="BF793" s="11"/>
      <c r="BG793" s="11"/>
      <c r="BH793" s="11"/>
      <c r="BI793" s="11"/>
      <c r="BJ793" s="11"/>
      <c r="BK793" s="11"/>
      <c r="BL793" s="11"/>
      <c r="BM793" s="11"/>
      <c r="BN793" s="11"/>
      <c r="BO793" s="11"/>
      <c r="BP793" s="11"/>
      <c r="BQ793" s="11"/>
      <c r="BR793" s="11"/>
      <c r="BS793" s="11"/>
      <c r="BT793" s="11"/>
      <c r="BU793" s="11"/>
      <c r="BV793" s="11"/>
      <c r="BW793" s="11"/>
      <c r="BX793" s="11"/>
      <c r="BY793" s="11"/>
      <c r="BZ793" s="11"/>
      <c r="CA793" s="11"/>
      <c r="CB793" s="11"/>
      <c r="CC793" s="17"/>
      <c r="CD793" s="17"/>
      <c r="CE793" s="11"/>
      <c r="CF793" s="13"/>
      <c r="CG793" s="13"/>
      <c r="CH793" s="13"/>
      <c r="CI793" s="13"/>
      <c r="CJ793" s="13"/>
    </row>
    <row r="794" spans="1:88" s="9" customFormat="1" x14ac:dyDescent="0.25">
      <c r="A794" s="10"/>
      <c r="B794" s="10"/>
      <c r="C794" s="10"/>
      <c r="D794" s="10"/>
      <c r="E794" s="11"/>
      <c r="F794" s="10"/>
      <c r="G794" s="10"/>
      <c r="H794" s="10"/>
      <c r="I794" s="10"/>
      <c r="J794" s="10"/>
      <c r="K794" s="12"/>
      <c r="L794" s="10"/>
      <c r="M794" s="10"/>
      <c r="N794" s="13"/>
      <c r="O794" s="10"/>
      <c r="P794" s="10"/>
      <c r="Q794" s="10"/>
      <c r="R794" s="18"/>
      <c r="S794" s="10"/>
      <c r="T794" s="10"/>
      <c r="U794" s="13"/>
      <c r="V794" s="13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3"/>
      <c r="AL794" s="14"/>
      <c r="AM794" s="15"/>
      <c r="AN794" s="15"/>
      <c r="AO794" s="13"/>
      <c r="AP794" s="13"/>
      <c r="AQ794" s="16"/>
      <c r="AR794" s="10"/>
      <c r="AS794" s="10"/>
      <c r="AT794" s="10"/>
      <c r="AU794" s="10"/>
      <c r="AV794" s="11"/>
      <c r="AW794" s="11"/>
      <c r="AX794" s="10"/>
      <c r="AY794" s="11"/>
      <c r="AZ794" s="11"/>
      <c r="BA794" s="11"/>
      <c r="BB794" s="10"/>
      <c r="BC794" s="11"/>
      <c r="BD794" s="11"/>
      <c r="BE794" s="11"/>
      <c r="BF794" s="11"/>
      <c r="BG794" s="11"/>
      <c r="BH794" s="11"/>
      <c r="BI794" s="11"/>
      <c r="BJ794" s="11"/>
      <c r="BK794" s="11"/>
      <c r="BL794" s="11"/>
      <c r="BM794" s="11"/>
      <c r="BN794" s="11"/>
      <c r="BO794" s="11"/>
      <c r="BP794" s="11"/>
      <c r="BQ794" s="11"/>
      <c r="BR794" s="11"/>
      <c r="BS794" s="11"/>
      <c r="BT794" s="11"/>
      <c r="BU794" s="11"/>
      <c r="BV794" s="11"/>
      <c r="BW794" s="11"/>
      <c r="BX794" s="11"/>
      <c r="BY794" s="11"/>
      <c r="BZ794" s="11"/>
      <c r="CA794" s="11"/>
      <c r="CB794" s="11"/>
      <c r="CC794" s="17"/>
      <c r="CD794" s="17"/>
      <c r="CE794" s="11"/>
      <c r="CF794" s="13"/>
      <c r="CG794" s="13"/>
      <c r="CH794" s="13"/>
      <c r="CI794" s="13"/>
      <c r="CJ794" s="13"/>
    </row>
    <row r="795" spans="1:88" s="9" customFormat="1" x14ac:dyDescent="0.25">
      <c r="A795" s="10"/>
      <c r="B795" s="10"/>
      <c r="C795" s="10"/>
      <c r="D795" s="10"/>
      <c r="E795" s="11"/>
      <c r="F795" s="10"/>
      <c r="G795" s="10"/>
      <c r="H795" s="10"/>
      <c r="I795" s="10"/>
      <c r="J795" s="10"/>
      <c r="K795" s="12"/>
      <c r="L795" s="10"/>
      <c r="M795" s="10"/>
      <c r="N795" s="13"/>
      <c r="O795" s="10"/>
      <c r="P795" s="10"/>
      <c r="Q795" s="10"/>
      <c r="R795" s="18"/>
      <c r="S795" s="10"/>
      <c r="T795" s="10"/>
      <c r="U795" s="13"/>
      <c r="V795" s="13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3"/>
      <c r="AL795" s="14"/>
      <c r="AM795" s="15"/>
      <c r="AN795" s="15"/>
      <c r="AO795" s="13"/>
      <c r="AP795" s="13"/>
      <c r="AQ795" s="16"/>
      <c r="AR795" s="10"/>
      <c r="AS795" s="10"/>
      <c r="AT795" s="10"/>
      <c r="AU795" s="10"/>
      <c r="AV795" s="11"/>
      <c r="AW795" s="11"/>
      <c r="AX795" s="10"/>
      <c r="AY795" s="11"/>
      <c r="AZ795" s="11"/>
      <c r="BA795" s="11"/>
      <c r="BB795" s="10"/>
      <c r="BC795" s="11"/>
      <c r="BD795" s="11"/>
      <c r="BE795" s="11"/>
      <c r="BF795" s="11"/>
      <c r="BG795" s="11"/>
      <c r="BH795" s="11"/>
      <c r="BI795" s="11"/>
      <c r="BJ795" s="11"/>
      <c r="BK795" s="11"/>
      <c r="BL795" s="11"/>
      <c r="BM795" s="11"/>
      <c r="BN795" s="11"/>
      <c r="BO795" s="11"/>
      <c r="BP795" s="11"/>
      <c r="BQ795" s="11"/>
      <c r="BR795" s="11"/>
      <c r="BS795" s="11"/>
      <c r="BT795" s="11"/>
      <c r="BU795" s="11"/>
      <c r="BV795" s="11"/>
      <c r="BW795" s="11"/>
      <c r="BX795" s="11"/>
      <c r="BY795" s="11"/>
      <c r="BZ795" s="11"/>
      <c r="CA795" s="11"/>
      <c r="CB795" s="11"/>
      <c r="CC795" s="17"/>
      <c r="CD795" s="17"/>
      <c r="CE795" s="11"/>
      <c r="CF795" s="13"/>
      <c r="CG795" s="13"/>
      <c r="CH795" s="13"/>
      <c r="CI795" s="13"/>
      <c r="CJ795" s="13"/>
    </row>
    <row r="796" spans="1:88" s="9" customFormat="1" x14ac:dyDescent="0.25">
      <c r="A796" s="10"/>
      <c r="B796" s="10"/>
      <c r="C796" s="10"/>
      <c r="D796" s="10"/>
      <c r="E796" s="11"/>
      <c r="F796" s="10"/>
      <c r="G796" s="10"/>
      <c r="H796" s="10"/>
      <c r="I796" s="10"/>
      <c r="J796" s="10"/>
      <c r="K796" s="12"/>
      <c r="L796" s="10"/>
      <c r="M796" s="10"/>
      <c r="N796" s="13"/>
      <c r="O796" s="10"/>
      <c r="P796" s="10"/>
      <c r="Q796" s="10"/>
      <c r="R796" s="18"/>
      <c r="S796" s="10"/>
      <c r="T796" s="10"/>
      <c r="U796" s="13"/>
      <c r="V796" s="13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3"/>
      <c r="AL796" s="14"/>
      <c r="AM796" s="15"/>
      <c r="AN796" s="15"/>
      <c r="AO796" s="13"/>
      <c r="AP796" s="13"/>
      <c r="AQ796" s="16"/>
      <c r="AR796" s="10"/>
      <c r="AS796" s="10"/>
      <c r="AT796" s="10"/>
      <c r="AU796" s="10"/>
      <c r="AV796" s="11"/>
      <c r="AW796" s="11"/>
      <c r="AX796" s="10"/>
      <c r="AY796" s="11"/>
      <c r="AZ796" s="11"/>
      <c r="BA796" s="11"/>
      <c r="BB796" s="10"/>
      <c r="BC796" s="11"/>
      <c r="BD796" s="11"/>
      <c r="BE796" s="11"/>
      <c r="BF796" s="11"/>
      <c r="BG796" s="11"/>
      <c r="BH796" s="11"/>
      <c r="BI796" s="11"/>
      <c r="BJ796" s="11"/>
      <c r="BK796" s="11"/>
      <c r="BL796" s="11"/>
      <c r="BM796" s="11"/>
      <c r="BN796" s="11"/>
      <c r="BO796" s="11"/>
      <c r="BP796" s="11"/>
      <c r="BQ796" s="11"/>
      <c r="BR796" s="11"/>
      <c r="BS796" s="11"/>
      <c r="BT796" s="11"/>
      <c r="BU796" s="11"/>
      <c r="BV796" s="11"/>
      <c r="BW796" s="11"/>
      <c r="BX796" s="11"/>
      <c r="BY796" s="11"/>
      <c r="BZ796" s="11"/>
      <c r="CA796" s="11"/>
      <c r="CB796" s="11"/>
      <c r="CC796" s="17"/>
      <c r="CD796" s="17"/>
      <c r="CE796" s="11"/>
      <c r="CF796" s="13"/>
      <c r="CG796" s="13"/>
      <c r="CH796" s="13"/>
      <c r="CI796" s="13"/>
      <c r="CJ796" s="13"/>
    </row>
    <row r="797" spans="1:88" s="9" customFormat="1" x14ac:dyDescent="0.25">
      <c r="A797" s="10"/>
      <c r="B797" s="10"/>
      <c r="C797" s="10"/>
      <c r="D797" s="10"/>
      <c r="E797" s="11"/>
      <c r="F797" s="10"/>
      <c r="G797" s="10"/>
      <c r="H797" s="10"/>
      <c r="I797" s="10"/>
      <c r="J797" s="10"/>
      <c r="K797" s="12"/>
      <c r="L797" s="10"/>
      <c r="M797" s="10"/>
      <c r="N797" s="13"/>
      <c r="O797" s="10"/>
      <c r="P797" s="10"/>
      <c r="Q797" s="10"/>
      <c r="R797" s="18"/>
      <c r="S797" s="10"/>
      <c r="T797" s="10"/>
      <c r="U797" s="13"/>
      <c r="V797" s="13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3"/>
      <c r="AL797" s="14"/>
      <c r="AM797" s="15"/>
      <c r="AN797" s="15"/>
      <c r="AO797" s="13"/>
      <c r="AP797" s="13"/>
      <c r="AQ797" s="16"/>
      <c r="AR797" s="10"/>
      <c r="AS797" s="10"/>
      <c r="AT797" s="10"/>
      <c r="AU797" s="10"/>
      <c r="AV797" s="11"/>
      <c r="AW797" s="11"/>
      <c r="AX797" s="10"/>
      <c r="AY797" s="11"/>
      <c r="AZ797" s="11"/>
      <c r="BA797" s="11"/>
      <c r="BB797" s="10"/>
      <c r="BC797" s="11"/>
      <c r="BD797" s="11"/>
      <c r="BE797" s="11"/>
      <c r="BF797" s="11"/>
      <c r="BG797" s="11"/>
      <c r="BH797" s="11"/>
      <c r="BI797" s="11"/>
      <c r="BJ797" s="11"/>
      <c r="BK797" s="11"/>
      <c r="BL797" s="11"/>
      <c r="BM797" s="11"/>
      <c r="BN797" s="11"/>
      <c r="BO797" s="11"/>
      <c r="BP797" s="11"/>
      <c r="BQ797" s="11"/>
      <c r="BR797" s="11"/>
      <c r="BS797" s="11"/>
      <c r="BT797" s="11"/>
      <c r="BU797" s="11"/>
      <c r="BV797" s="11"/>
      <c r="BW797" s="11"/>
      <c r="BX797" s="11"/>
      <c r="BY797" s="11"/>
      <c r="BZ797" s="11"/>
      <c r="CA797" s="11"/>
      <c r="CB797" s="11"/>
      <c r="CC797" s="17"/>
      <c r="CD797" s="17"/>
      <c r="CE797" s="11"/>
      <c r="CF797" s="13"/>
      <c r="CG797" s="13"/>
      <c r="CH797" s="13"/>
      <c r="CI797" s="13"/>
      <c r="CJ797" s="13"/>
    </row>
    <row r="798" spans="1:88" s="9" customFormat="1" x14ac:dyDescent="0.25">
      <c r="A798" s="10"/>
      <c r="B798" s="10"/>
      <c r="C798" s="10"/>
      <c r="D798" s="10"/>
      <c r="E798" s="11"/>
      <c r="F798" s="10"/>
      <c r="G798" s="10"/>
      <c r="H798" s="10"/>
      <c r="I798" s="10"/>
      <c r="J798" s="10"/>
      <c r="K798" s="12"/>
      <c r="L798" s="10"/>
      <c r="M798" s="10"/>
      <c r="N798" s="13"/>
      <c r="O798" s="10"/>
      <c r="P798" s="10"/>
      <c r="Q798" s="10"/>
      <c r="R798" s="18"/>
      <c r="S798" s="10"/>
      <c r="T798" s="10"/>
      <c r="U798" s="13"/>
      <c r="V798" s="13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3"/>
      <c r="AL798" s="14"/>
      <c r="AM798" s="15"/>
      <c r="AN798" s="15"/>
      <c r="AO798" s="13"/>
      <c r="AP798" s="13"/>
      <c r="AQ798" s="16"/>
      <c r="AR798" s="10"/>
      <c r="AS798" s="10"/>
      <c r="AT798" s="10"/>
      <c r="AU798" s="10"/>
      <c r="AV798" s="11"/>
      <c r="AW798" s="11"/>
      <c r="AX798" s="10"/>
      <c r="AY798" s="11"/>
      <c r="AZ798" s="11"/>
      <c r="BA798" s="11"/>
      <c r="BB798" s="10"/>
      <c r="BC798" s="11"/>
      <c r="BD798" s="11"/>
      <c r="BE798" s="11"/>
      <c r="BF798" s="11"/>
      <c r="BG798" s="11"/>
      <c r="BH798" s="11"/>
      <c r="BI798" s="11"/>
      <c r="BJ798" s="11"/>
      <c r="BK798" s="11"/>
      <c r="BL798" s="11"/>
      <c r="BM798" s="11"/>
      <c r="BN798" s="11"/>
      <c r="BO798" s="11"/>
      <c r="BP798" s="11"/>
      <c r="BQ798" s="11"/>
      <c r="BR798" s="11"/>
      <c r="BS798" s="11"/>
      <c r="BT798" s="11"/>
      <c r="BU798" s="11"/>
      <c r="BV798" s="11"/>
      <c r="BW798" s="11"/>
      <c r="BX798" s="11"/>
      <c r="BY798" s="11"/>
      <c r="BZ798" s="11"/>
      <c r="CA798" s="11"/>
      <c r="CB798" s="11"/>
      <c r="CC798" s="17"/>
      <c r="CD798" s="17"/>
      <c r="CE798" s="11"/>
      <c r="CF798" s="13"/>
      <c r="CG798" s="13"/>
      <c r="CH798" s="13"/>
      <c r="CI798" s="13"/>
      <c r="CJ798" s="13"/>
    </row>
    <row r="799" spans="1:88" s="9" customFormat="1" x14ac:dyDescent="0.25">
      <c r="A799" s="10"/>
      <c r="B799" s="10"/>
      <c r="C799" s="10"/>
      <c r="D799" s="10"/>
      <c r="E799" s="11"/>
      <c r="F799" s="10"/>
      <c r="G799" s="10"/>
      <c r="H799" s="10"/>
      <c r="I799" s="10"/>
      <c r="J799" s="10"/>
      <c r="K799" s="12"/>
      <c r="L799" s="10"/>
      <c r="M799" s="10"/>
      <c r="N799" s="13"/>
      <c r="O799" s="10"/>
      <c r="P799" s="10"/>
      <c r="Q799" s="10"/>
      <c r="R799" s="18"/>
      <c r="S799" s="10"/>
      <c r="T799" s="10"/>
      <c r="U799" s="13"/>
      <c r="V799" s="13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3"/>
      <c r="AL799" s="14"/>
      <c r="AM799" s="15"/>
      <c r="AN799" s="15"/>
      <c r="AO799" s="13"/>
      <c r="AP799" s="13"/>
      <c r="AQ799" s="16"/>
      <c r="AR799" s="10"/>
      <c r="AS799" s="10"/>
      <c r="AT799" s="10"/>
      <c r="AU799" s="10"/>
      <c r="AV799" s="11"/>
      <c r="AW799" s="11"/>
      <c r="AX799" s="10"/>
      <c r="AY799" s="11"/>
      <c r="AZ799" s="11"/>
      <c r="BA799" s="11"/>
      <c r="BB799" s="10"/>
      <c r="BC799" s="11"/>
      <c r="BD799" s="11"/>
      <c r="BE799" s="11"/>
      <c r="BF799" s="11"/>
      <c r="BG799" s="11"/>
      <c r="BH799" s="11"/>
      <c r="BI799" s="11"/>
      <c r="BJ799" s="11"/>
      <c r="BK799" s="11"/>
      <c r="BL799" s="11"/>
      <c r="BM799" s="11"/>
      <c r="BN799" s="11"/>
      <c r="BO799" s="11"/>
      <c r="BP799" s="11"/>
      <c r="BQ799" s="11"/>
      <c r="BR799" s="11"/>
      <c r="BS799" s="11"/>
      <c r="BT799" s="11"/>
      <c r="BU799" s="11"/>
      <c r="BV799" s="11"/>
      <c r="BW799" s="11"/>
      <c r="BX799" s="11"/>
      <c r="BY799" s="11"/>
      <c r="BZ799" s="11"/>
      <c r="CA799" s="11"/>
      <c r="CB799" s="11"/>
      <c r="CC799" s="17"/>
      <c r="CD799" s="17"/>
      <c r="CE799" s="11"/>
      <c r="CF799" s="13"/>
      <c r="CG799" s="13"/>
      <c r="CH799" s="13"/>
      <c r="CI799" s="13"/>
      <c r="CJ799" s="13"/>
    </row>
    <row r="800" spans="1:88" s="9" customFormat="1" x14ac:dyDescent="0.25">
      <c r="A800" s="10"/>
      <c r="B800" s="10"/>
      <c r="C800" s="10"/>
      <c r="D800" s="10"/>
      <c r="E800" s="11"/>
      <c r="F800" s="10"/>
      <c r="G800" s="10"/>
      <c r="H800" s="10"/>
      <c r="I800" s="10"/>
      <c r="J800" s="10"/>
      <c r="K800" s="12"/>
      <c r="L800" s="10"/>
      <c r="M800" s="10"/>
      <c r="N800" s="13"/>
      <c r="O800" s="10"/>
      <c r="P800" s="10"/>
      <c r="Q800" s="10"/>
      <c r="R800" s="18"/>
      <c r="S800" s="10"/>
      <c r="T800" s="10"/>
      <c r="U800" s="13"/>
      <c r="V800" s="13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3"/>
      <c r="AL800" s="14"/>
      <c r="AM800" s="15"/>
      <c r="AN800" s="15"/>
      <c r="AO800" s="13"/>
      <c r="AP800" s="13"/>
      <c r="AQ800" s="16"/>
      <c r="AR800" s="10"/>
      <c r="AS800" s="10"/>
      <c r="AT800" s="10"/>
      <c r="AU800" s="10"/>
      <c r="AV800" s="11"/>
      <c r="AW800" s="11"/>
      <c r="AX800" s="10"/>
      <c r="AY800" s="11"/>
      <c r="AZ800" s="11"/>
      <c r="BA800" s="11"/>
      <c r="BB800" s="10"/>
      <c r="BC800" s="11"/>
      <c r="BD800" s="11"/>
      <c r="BE800" s="11"/>
      <c r="BF800" s="11"/>
      <c r="BG800" s="11"/>
      <c r="BH800" s="11"/>
      <c r="BI800" s="11"/>
      <c r="BJ800" s="11"/>
      <c r="BK800" s="11"/>
      <c r="BL800" s="11"/>
      <c r="BM800" s="11"/>
      <c r="BN800" s="11"/>
      <c r="BO800" s="11"/>
      <c r="BP800" s="11"/>
      <c r="BQ800" s="11"/>
      <c r="BR800" s="11"/>
      <c r="BS800" s="11"/>
      <c r="BT800" s="11"/>
      <c r="BU800" s="11"/>
      <c r="BV800" s="11"/>
      <c r="BW800" s="11"/>
      <c r="BX800" s="11"/>
      <c r="BY800" s="11"/>
      <c r="BZ800" s="11"/>
      <c r="CA800" s="11"/>
      <c r="CB800" s="11"/>
      <c r="CC800" s="17"/>
      <c r="CD800" s="17"/>
      <c r="CE800" s="11"/>
      <c r="CF800" s="13"/>
      <c r="CG800" s="13"/>
      <c r="CH800" s="13"/>
      <c r="CI800" s="13"/>
      <c r="CJ800" s="13"/>
    </row>
    <row r="801" spans="1:88" s="9" customFormat="1" x14ac:dyDescent="0.25">
      <c r="A801" s="10"/>
      <c r="B801" s="10"/>
      <c r="C801" s="10"/>
      <c r="D801" s="10"/>
      <c r="E801" s="11"/>
      <c r="F801" s="10"/>
      <c r="G801" s="10"/>
      <c r="H801" s="10"/>
      <c r="I801" s="10"/>
      <c r="J801" s="10"/>
      <c r="K801" s="12"/>
      <c r="L801" s="10"/>
      <c r="M801" s="10"/>
      <c r="N801" s="13"/>
      <c r="O801" s="10"/>
      <c r="P801" s="10"/>
      <c r="Q801" s="10"/>
      <c r="R801" s="18"/>
      <c r="S801" s="10"/>
      <c r="T801" s="10"/>
      <c r="U801" s="13"/>
      <c r="V801" s="13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3"/>
      <c r="AL801" s="14"/>
      <c r="AM801" s="15"/>
      <c r="AN801" s="15"/>
      <c r="AO801" s="13"/>
      <c r="AP801" s="13"/>
      <c r="AQ801" s="16"/>
      <c r="AR801" s="10"/>
      <c r="AS801" s="10"/>
      <c r="AT801" s="10"/>
      <c r="AU801" s="10"/>
      <c r="AV801" s="11"/>
      <c r="AW801" s="11"/>
      <c r="AX801" s="10"/>
      <c r="AY801" s="11"/>
      <c r="AZ801" s="11"/>
      <c r="BA801" s="11"/>
      <c r="BB801" s="10"/>
      <c r="BC801" s="11"/>
      <c r="BD801" s="11"/>
      <c r="BE801" s="11"/>
      <c r="BF801" s="11"/>
      <c r="BG801" s="11"/>
      <c r="BH801" s="11"/>
      <c r="BI801" s="11"/>
      <c r="BJ801" s="11"/>
      <c r="BK801" s="11"/>
      <c r="BL801" s="11"/>
      <c r="BM801" s="11"/>
      <c r="BN801" s="11"/>
      <c r="BO801" s="11"/>
      <c r="BP801" s="11"/>
      <c r="BQ801" s="11"/>
      <c r="BR801" s="11"/>
      <c r="BS801" s="11"/>
      <c r="BT801" s="11"/>
      <c r="BU801" s="11"/>
      <c r="BV801" s="11"/>
      <c r="BW801" s="11"/>
      <c r="BX801" s="11"/>
      <c r="BY801" s="11"/>
      <c r="BZ801" s="11"/>
      <c r="CA801" s="11"/>
      <c r="CB801" s="11"/>
      <c r="CC801" s="17"/>
      <c r="CD801" s="17"/>
      <c r="CE801" s="11"/>
      <c r="CF801" s="13"/>
      <c r="CG801" s="13"/>
      <c r="CH801" s="13"/>
      <c r="CI801" s="13"/>
      <c r="CJ801" s="13"/>
    </row>
    <row r="802" spans="1:88" s="9" customFormat="1" x14ac:dyDescent="0.25">
      <c r="A802" s="10"/>
      <c r="B802" s="10"/>
      <c r="C802" s="10"/>
      <c r="D802" s="10"/>
      <c r="E802" s="11"/>
      <c r="F802" s="10"/>
      <c r="G802" s="10"/>
      <c r="H802" s="10"/>
      <c r="I802" s="10"/>
      <c r="J802" s="10"/>
      <c r="K802" s="12"/>
      <c r="L802" s="10"/>
      <c r="M802" s="10"/>
      <c r="N802" s="13"/>
      <c r="O802" s="10"/>
      <c r="P802" s="10"/>
      <c r="Q802" s="10"/>
      <c r="R802" s="18"/>
      <c r="S802" s="10"/>
      <c r="T802" s="10"/>
      <c r="U802" s="13"/>
      <c r="V802" s="13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3"/>
      <c r="AL802" s="14"/>
      <c r="AM802" s="15"/>
      <c r="AN802" s="15"/>
      <c r="AO802" s="13"/>
      <c r="AP802" s="13"/>
      <c r="AQ802" s="16"/>
      <c r="AR802" s="10"/>
      <c r="AS802" s="10"/>
      <c r="AT802" s="10"/>
      <c r="AU802" s="10"/>
      <c r="AV802" s="11"/>
      <c r="AW802" s="11"/>
      <c r="AX802" s="10"/>
      <c r="AY802" s="11"/>
      <c r="AZ802" s="11"/>
      <c r="BA802" s="11"/>
      <c r="BB802" s="10"/>
      <c r="BC802" s="11"/>
      <c r="BD802" s="11"/>
      <c r="BE802" s="11"/>
      <c r="BF802" s="11"/>
      <c r="BG802" s="11"/>
      <c r="BH802" s="11"/>
      <c r="BI802" s="11"/>
      <c r="BJ802" s="11"/>
      <c r="BK802" s="11"/>
      <c r="BL802" s="11"/>
      <c r="BM802" s="11"/>
      <c r="BN802" s="11"/>
      <c r="BO802" s="11"/>
      <c r="BP802" s="11"/>
      <c r="BQ802" s="11"/>
      <c r="BR802" s="11"/>
      <c r="BS802" s="11"/>
      <c r="BT802" s="11"/>
      <c r="BU802" s="11"/>
      <c r="BV802" s="11"/>
      <c r="BW802" s="11"/>
      <c r="BX802" s="11"/>
      <c r="BY802" s="11"/>
      <c r="BZ802" s="11"/>
      <c r="CA802" s="11"/>
      <c r="CB802" s="11"/>
      <c r="CC802" s="17"/>
      <c r="CD802" s="17"/>
      <c r="CE802" s="11"/>
      <c r="CF802" s="13"/>
      <c r="CG802" s="13"/>
      <c r="CH802" s="13"/>
      <c r="CI802" s="13"/>
      <c r="CJ802" s="13"/>
    </row>
    <row r="803" spans="1:88" s="9" customFormat="1" x14ac:dyDescent="0.25">
      <c r="A803" s="10"/>
      <c r="B803" s="10"/>
      <c r="C803" s="10"/>
      <c r="D803" s="10"/>
      <c r="E803" s="11"/>
      <c r="F803" s="10"/>
      <c r="G803" s="10"/>
      <c r="H803" s="10"/>
      <c r="I803" s="10"/>
      <c r="J803" s="10"/>
      <c r="K803" s="12"/>
      <c r="L803" s="10"/>
      <c r="M803" s="10"/>
      <c r="N803" s="13"/>
      <c r="O803" s="10"/>
      <c r="P803" s="10"/>
      <c r="Q803" s="10"/>
      <c r="R803" s="18"/>
      <c r="S803" s="10"/>
      <c r="T803" s="10"/>
      <c r="U803" s="13"/>
      <c r="V803" s="13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3"/>
      <c r="AL803" s="14"/>
      <c r="AM803" s="15"/>
      <c r="AN803" s="15"/>
      <c r="AO803" s="13"/>
      <c r="AP803" s="13"/>
      <c r="AQ803" s="16"/>
      <c r="AR803" s="10"/>
      <c r="AS803" s="10"/>
      <c r="AT803" s="10"/>
      <c r="AU803" s="10"/>
      <c r="AV803" s="11"/>
      <c r="AW803" s="11"/>
      <c r="AX803" s="10"/>
      <c r="AY803" s="11"/>
      <c r="AZ803" s="11"/>
      <c r="BA803" s="11"/>
      <c r="BB803" s="10"/>
      <c r="BC803" s="11"/>
      <c r="BD803" s="11"/>
      <c r="BE803" s="11"/>
      <c r="BF803" s="11"/>
      <c r="BG803" s="11"/>
      <c r="BH803" s="11"/>
      <c r="BI803" s="11"/>
      <c r="BJ803" s="11"/>
      <c r="BK803" s="11"/>
      <c r="BL803" s="11"/>
      <c r="BM803" s="11"/>
      <c r="BN803" s="11"/>
      <c r="BO803" s="11"/>
      <c r="BP803" s="11"/>
      <c r="BQ803" s="11"/>
      <c r="BR803" s="11"/>
      <c r="BS803" s="11"/>
      <c r="BT803" s="11"/>
      <c r="BU803" s="11"/>
      <c r="BV803" s="11"/>
      <c r="BW803" s="11"/>
      <c r="BX803" s="11"/>
      <c r="BY803" s="11"/>
      <c r="BZ803" s="11"/>
      <c r="CA803" s="11"/>
      <c r="CB803" s="11"/>
      <c r="CC803" s="17"/>
      <c r="CD803" s="17"/>
      <c r="CE803" s="11"/>
      <c r="CF803" s="13"/>
      <c r="CG803" s="13"/>
      <c r="CH803" s="13"/>
      <c r="CI803" s="13"/>
      <c r="CJ803" s="13"/>
    </row>
    <row r="804" spans="1:88" s="9" customFormat="1" x14ac:dyDescent="0.25">
      <c r="A804" s="10"/>
      <c r="B804" s="10"/>
      <c r="C804" s="10"/>
      <c r="D804" s="10"/>
      <c r="E804" s="11"/>
      <c r="F804" s="10"/>
      <c r="G804" s="10"/>
      <c r="H804" s="10"/>
      <c r="I804" s="10"/>
      <c r="J804" s="10"/>
      <c r="K804" s="12"/>
      <c r="L804" s="10"/>
      <c r="M804" s="10"/>
      <c r="N804" s="13"/>
      <c r="O804" s="10"/>
      <c r="P804" s="10"/>
      <c r="Q804" s="10"/>
      <c r="R804" s="18"/>
      <c r="S804" s="10"/>
      <c r="T804" s="10"/>
      <c r="U804" s="13"/>
      <c r="V804" s="13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3"/>
      <c r="AL804" s="14"/>
      <c r="AM804" s="15"/>
      <c r="AN804" s="15"/>
      <c r="AO804" s="13"/>
      <c r="AP804" s="13"/>
      <c r="AQ804" s="16"/>
      <c r="AR804" s="10"/>
      <c r="AS804" s="10"/>
      <c r="AT804" s="10"/>
      <c r="AU804" s="10"/>
      <c r="AV804" s="11"/>
      <c r="AW804" s="11"/>
      <c r="AX804" s="10"/>
      <c r="AY804" s="11"/>
      <c r="AZ804" s="11"/>
      <c r="BA804" s="11"/>
      <c r="BB804" s="10"/>
      <c r="BC804" s="11"/>
      <c r="BD804" s="11"/>
      <c r="BE804" s="11"/>
      <c r="BF804" s="11"/>
      <c r="BG804" s="11"/>
      <c r="BH804" s="11"/>
      <c r="BI804" s="11"/>
      <c r="BJ804" s="11"/>
      <c r="BK804" s="11"/>
      <c r="BL804" s="11"/>
      <c r="BM804" s="11"/>
      <c r="BN804" s="11"/>
      <c r="BO804" s="11"/>
      <c r="BP804" s="11"/>
      <c r="BQ804" s="11"/>
      <c r="BR804" s="11"/>
      <c r="BS804" s="11"/>
      <c r="BT804" s="11"/>
      <c r="BU804" s="11"/>
      <c r="BV804" s="11"/>
      <c r="BW804" s="11"/>
      <c r="BX804" s="11"/>
      <c r="BY804" s="11"/>
      <c r="BZ804" s="11"/>
      <c r="CA804" s="11"/>
      <c r="CB804" s="11"/>
      <c r="CC804" s="17"/>
      <c r="CD804" s="17"/>
      <c r="CE804" s="11"/>
      <c r="CF804" s="13"/>
      <c r="CG804" s="13"/>
      <c r="CH804" s="13"/>
      <c r="CI804" s="13"/>
      <c r="CJ804" s="13"/>
    </row>
    <row r="805" spans="1:88" s="9" customFormat="1" x14ac:dyDescent="0.25">
      <c r="A805" s="10"/>
      <c r="B805" s="10"/>
      <c r="C805" s="10"/>
      <c r="D805" s="10"/>
      <c r="E805" s="11"/>
      <c r="F805" s="10"/>
      <c r="G805" s="10"/>
      <c r="H805" s="10"/>
      <c r="I805" s="10"/>
      <c r="J805" s="10"/>
      <c r="K805" s="12"/>
      <c r="L805" s="10"/>
      <c r="M805" s="10"/>
      <c r="N805" s="13"/>
      <c r="O805" s="10"/>
      <c r="P805" s="10"/>
      <c r="Q805" s="10"/>
      <c r="R805" s="18"/>
      <c r="S805" s="10"/>
      <c r="T805" s="10"/>
      <c r="U805" s="13"/>
      <c r="V805" s="13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3"/>
      <c r="AL805" s="14"/>
      <c r="AM805" s="15"/>
      <c r="AN805" s="15"/>
      <c r="AO805" s="13"/>
      <c r="AP805" s="13"/>
      <c r="AQ805" s="16"/>
      <c r="AR805" s="10"/>
      <c r="AS805" s="10"/>
      <c r="AT805" s="10"/>
      <c r="AU805" s="10"/>
      <c r="AV805" s="11"/>
      <c r="AW805" s="11"/>
      <c r="AX805" s="10"/>
      <c r="AY805" s="11"/>
      <c r="AZ805" s="11"/>
      <c r="BA805" s="11"/>
      <c r="BB805" s="10"/>
      <c r="BC805" s="11"/>
      <c r="BD805" s="11"/>
      <c r="BE805" s="11"/>
      <c r="BF805" s="11"/>
      <c r="BG805" s="11"/>
      <c r="BH805" s="11"/>
      <c r="BI805" s="11"/>
      <c r="BJ805" s="11"/>
      <c r="BK805" s="11"/>
      <c r="BL805" s="11"/>
      <c r="BM805" s="11"/>
      <c r="BN805" s="11"/>
      <c r="BO805" s="11"/>
      <c r="BP805" s="11"/>
      <c r="BQ805" s="11"/>
      <c r="BR805" s="11"/>
      <c r="BS805" s="11"/>
      <c r="BT805" s="11"/>
      <c r="BU805" s="11"/>
      <c r="BV805" s="11"/>
      <c r="BW805" s="11"/>
      <c r="BX805" s="11"/>
      <c r="BY805" s="11"/>
      <c r="BZ805" s="11"/>
      <c r="CA805" s="11"/>
      <c r="CB805" s="11"/>
      <c r="CC805" s="17"/>
      <c r="CD805" s="17"/>
      <c r="CE805" s="11"/>
      <c r="CF805" s="13"/>
      <c r="CG805" s="13"/>
      <c r="CH805" s="13"/>
      <c r="CI805" s="13"/>
      <c r="CJ805" s="13"/>
    </row>
    <row r="806" spans="1:88" s="9" customFormat="1" x14ac:dyDescent="0.25">
      <c r="A806" s="10"/>
      <c r="B806" s="10"/>
      <c r="C806" s="10"/>
      <c r="D806" s="10"/>
      <c r="E806" s="11"/>
      <c r="F806" s="10"/>
      <c r="G806" s="10"/>
      <c r="H806" s="10"/>
      <c r="I806" s="10"/>
      <c r="J806" s="10"/>
      <c r="K806" s="12"/>
      <c r="L806" s="10"/>
      <c r="M806" s="10"/>
      <c r="N806" s="13"/>
      <c r="O806" s="10"/>
      <c r="P806" s="10"/>
      <c r="Q806" s="10"/>
      <c r="R806" s="18"/>
      <c r="S806" s="10"/>
      <c r="T806" s="10"/>
      <c r="U806" s="13"/>
      <c r="V806" s="13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3"/>
      <c r="AL806" s="14"/>
      <c r="AM806" s="15"/>
      <c r="AN806" s="15"/>
      <c r="AO806" s="13"/>
      <c r="AP806" s="13"/>
      <c r="AQ806" s="16"/>
      <c r="AR806" s="10"/>
      <c r="AS806" s="10"/>
      <c r="AT806" s="10"/>
      <c r="AU806" s="10"/>
      <c r="AV806" s="11"/>
      <c r="AW806" s="11"/>
      <c r="AX806" s="10"/>
      <c r="AY806" s="11"/>
      <c r="AZ806" s="11"/>
      <c r="BA806" s="11"/>
      <c r="BB806" s="10"/>
      <c r="BC806" s="11"/>
      <c r="BD806" s="11"/>
      <c r="BE806" s="11"/>
      <c r="BF806" s="11"/>
      <c r="BG806" s="11"/>
      <c r="BH806" s="11"/>
      <c r="BI806" s="11"/>
      <c r="BJ806" s="11"/>
      <c r="BK806" s="11"/>
      <c r="BL806" s="11"/>
      <c r="BM806" s="11"/>
      <c r="BN806" s="11"/>
      <c r="BO806" s="11"/>
      <c r="BP806" s="11"/>
      <c r="BQ806" s="11"/>
      <c r="BR806" s="11"/>
      <c r="BS806" s="11"/>
      <c r="BT806" s="11"/>
      <c r="BU806" s="11"/>
      <c r="BV806" s="11"/>
      <c r="BW806" s="11"/>
      <c r="BX806" s="11"/>
      <c r="BY806" s="11"/>
      <c r="BZ806" s="11"/>
      <c r="CA806" s="11"/>
      <c r="CB806" s="11"/>
      <c r="CC806" s="17"/>
      <c r="CD806" s="17"/>
      <c r="CE806" s="11"/>
      <c r="CF806" s="13"/>
      <c r="CG806" s="13"/>
      <c r="CH806" s="13"/>
      <c r="CI806" s="13"/>
      <c r="CJ806" s="13"/>
    </row>
    <row r="807" spans="1:88" s="9" customFormat="1" x14ac:dyDescent="0.25">
      <c r="A807" s="10"/>
      <c r="B807" s="10"/>
      <c r="C807" s="10"/>
      <c r="D807" s="10"/>
      <c r="E807" s="11"/>
      <c r="F807" s="10"/>
      <c r="G807" s="10"/>
      <c r="H807" s="10"/>
      <c r="I807" s="10"/>
      <c r="J807" s="10"/>
      <c r="K807" s="12"/>
      <c r="L807" s="10"/>
      <c r="M807" s="10"/>
      <c r="N807" s="13"/>
      <c r="O807" s="10"/>
      <c r="P807" s="10"/>
      <c r="Q807" s="10"/>
      <c r="R807" s="18"/>
      <c r="S807" s="10"/>
      <c r="T807" s="10"/>
      <c r="U807" s="13"/>
      <c r="V807" s="13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3"/>
      <c r="AL807" s="14"/>
      <c r="AM807" s="15"/>
      <c r="AN807" s="15"/>
      <c r="AO807" s="13"/>
      <c r="AP807" s="13"/>
      <c r="AQ807" s="16"/>
      <c r="AR807" s="10"/>
      <c r="AS807" s="10"/>
      <c r="AT807" s="10"/>
      <c r="AU807" s="10"/>
      <c r="AV807" s="11"/>
      <c r="AW807" s="11"/>
      <c r="AX807" s="10"/>
      <c r="AY807" s="11"/>
      <c r="AZ807" s="11"/>
      <c r="BA807" s="11"/>
      <c r="BB807" s="10"/>
      <c r="BC807" s="11"/>
      <c r="BD807" s="11"/>
      <c r="BE807" s="11"/>
      <c r="BF807" s="11"/>
      <c r="BG807" s="11"/>
      <c r="BH807" s="11"/>
      <c r="BI807" s="11"/>
      <c r="BJ807" s="11"/>
      <c r="BK807" s="11"/>
      <c r="BL807" s="11"/>
      <c r="BM807" s="11"/>
      <c r="BN807" s="11"/>
      <c r="BO807" s="11"/>
      <c r="BP807" s="11"/>
      <c r="BQ807" s="11"/>
      <c r="BR807" s="11"/>
      <c r="BS807" s="11"/>
      <c r="BT807" s="11"/>
      <c r="BU807" s="11"/>
      <c r="BV807" s="11"/>
      <c r="BW807" s="11"/>
      <c r="BX807" s="11"/>
      <c r="BY807" s="11"/>
      <c r="BZ807" s="11"/>
      <c r="CA807" s="11"/>
      <c r="CB807" s="11"/>
      <c r="CC807" s="17"/>
      <c r="CD807" s="17"/>
      <c r="CE807" s="11"/>
      <c r="CF807" s="13"/>
      <c r="CG807" s="13"/>
      <c r="CH807" s="13"/>
      <c r="CI807" s="13"/>
      <c r="CJ807" s="13"/>
    </row>
    <row r="808" spans="1:88" s="9" customFormat="1" x14ac:dyDescent="0.25">
      <c r="A808" s="10"/>
      <c r="B808" s="10"/>
      <c r="C808" s="10"/>
      <c r="D808" s="10"/>
      <c r="E808" s="11"/>
      <c r="F808" s="10"/>
      <c r="G808" s="10"/>
      <c r="H808" s="10"/>
      <c r="I808" s="10"/>
      <c r="J808" s="10"/>
      <c r="K808" s="12"/>
      <c r="L808" s="10"/>
      <c r="M808" s="10"/>
      <c r="N808" s="13"/>
      <c r="O808" s="10"/>
      <c r="P808" s="10"/>
      <c r="Q808" s="10"/>
      <c r="R808" s="18"/>
      <c r="S808" s="10"/>
      <c r="T808" s="10"/>
      <c r="U808" s="13"/>
      <c r="V808" s="13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3"/>
      <c r="AL808" s="14"/>
      <c r="AM808" s="15"/>
      <c r="AN808" s="15"/>
      <c r="AO808" s="13"/>
      <c r="AP808" s="13"/>
      <c r="AQ808" s="16"/>
      <c r="AR808" s="10"/>
      <c r="AS808" s="10"/>
      <c r="AT808" s="10"/>
      <c r="AU808" s="10"/>
      <c r="AV808" s="11"/>
      <c r="AW808" s="11"/>
      <c r="AX808" s="10"/>
      <c r="AY808" s="11"/>
      <c r="AZ808" s="11"/>
      <c r="BA808" s="11"/>
      <c r="BB808" s="10"/>
      <c r="BC808" s="11"/>
      <c r="BD808" s="11"/>
      <c r="BE808" s="11"/>
      <c r="BF808" s="11"/>
      <c r="BG808" s="11"/>
      <c r="BH808" s="11"/>
      <c r="BI808" s="11"/>
      <c r="BJ808" s="11"/>
      <c r="BK808" s="11"/>
      <c r="BL808" s="11"/>
      <c r="BM808" s="11"/>
      <c r="BN808" s="11"/>
      <c r="BO808" s="11"/>
      <c r="BP808" s="11"/>
      <c r="BQ808" s="11"/>
      <c r="BR808" s="11"/>
      <c r="BS808" s="11"/>
      <c r="BT808" s="11"/>
      <c r="BU808" s="11"/>
      <c r="BV808" s="11"/>
      <c r="BW808" s="11"/>
      <c r="BX808" s="11"/>
      <c r="BY808" s="11"/>
      <c r="BZ808" s="11"/>
      <c r="CA808" s="11"/>
      <c r="CB808" s="11"/>
      <c r="CC808" s="17"/>
      <c r="CD808" s="17"/>
      <c r="CE808" s="11"/>
      <c r="CF808" s="13"/>
      <c r="CG808" s="13"/>
      <c r="CH808" s="13"/>
      <c r="CI808" s="13"/>
      <c r="CJ808" s="13"/>
    </row>
    <row r="809" spans="1:88" s="9" customFormat="1" x14ac:dyDescent="0.25">
      <c r="A809" s="10"/>
      <c r="B809" s="10"/>
      <c r="C809" s="10"/>
      <c r="D809" s="10"/>
      <c r="E809" s="11"/>
      <c r="F809" s="10"/>
      <c r="G809" s="10"/>
      <c r="H809" s="10"/>
      <c r="I809" s="10"/>
      <c r="J809" s="10"/>
      <c r="K809" s="12"/>
      <c r="L809" s="10"/>
      <c r="M809" s="10"/>
      <c r="N809" s="13"/>
      <c r="O809" s="10"/>
      <c r="P809" s="10"/>
      <c r="Q809" s="10"/>
      <c r="R809" s="18"/>
      <c r="S809" s="10"/>
      <c r="T809" s="10"/>
      <c r="U809" s="13"/>
      <c r="V809" s="13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3"/>
      <c r="AL809" s="14"/>
      <c r="AM809" s="15"/>
      <c r="AN809" s="15"/>
      <c r="AO809" s="13"/>
      <c r="AP809" s="13"/>
      <c r="AQ809" s="16"/>
      <c r="AR809" s="10"/>
      <c r="AS809" s="10"/>
      <c r="AT809" s="10"/>
      <c r="AU809" s="10"/>
      <c r="AV809" s="11"/>
      <c r="AW809" s="11"/>
      <c r="AX809" s="10"/>
      <c r="AY809" s="11"/>
      <c r="AZ809" s="11"/>
      <c r="BA809" s="11"/>
      <c r="BB809" s="10"/>
      <c r="BC809" s="11"/>
      <c r="BD809" s="11"/>
      <c r="BE809" s="11"/>
      <c r="BF809" s="11"/>
      <c r="BG809" s="11"/>
      <c r="BH809" s="11"/>
      <c r="BI809" s="11"/>
      <c r="BJ809" s="11"/>
      <c r="BK809" s="11"/>
      <c r="BL809" s="11"/>
      <c r="BM809" s="11"/>
      <c r="BN809" s="11"/>
      <c r="BO809" s="11"/>
      <c r="BP809" s="11"/>
      <c r="BQ809" s="11"/>
      <c r="BR809" s="11"/>
      <c r="BS809" s="11"/>
      <c r="BT809" s="11"/>
      <c r="BU809" s="11"/>
      <c r="BV809" s="11"/>
      <c r="BW809" s="11"/>
      <c r="BX809" s="11"/>
      <c r="BY809" s="11"/>
      <c r="BZ809" s="11"/>
      <c r="CA809" s="11"/>
      <c r="CB809" s="11"/>
      <c r="CC809" s="17"/>
      <c r="CD809" s="17"/>
      <c r="CE809" s="11"/>
      <c r="CF809" s="13"/>
      <c r="CG809" s="13"/>
      <c r="CH809" s="13"/>
      <c r="CI809" s="13"/>
      <c r="CJ809" s="13"/>
    </row>
    <row r="810" spans="1:88" s="9" customFormat="1" x14ac:dyDescent="0.25">
      <c r="A810" s="10"/>
      <c r="B810" s="10"/>
      <c r="C810" s="10"/>
      <c r="D810" s="10"/>
      <c r="E810" s="11"/>
      <c r="F810" s="10"/>
      <c r="G810" s="10"/>
      <c r="H810" s="10"/>
      <c r="I810" s="10"/>
      <c r="J810" s="10"/>
      <c r="K810" s="12"/>
      <c r="L810" s="10"/>
      <c r="M810" s="10"/>
      <c r="N810" s="13"/>
      <c r="O810" s="10"/>
      <c r="P810" s="10"/>
      <c r="Q810" s="10"/>
      <c r="R810" s="18"/>
      <c r="S810" s="10"/>
      <c r="T810" s="10"/>
      <c r="U810" s="13"/>
      <c r="V810" s="13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3"/>
      <c r="AL810" s="14"/>
      <c r="AM810" s="15"/>
      <c r="AN810" s="15"/>
      <c r="AO810" s="13"/>
      <c r="AP810" s="13"/>
      <c r="AQ810" s="16"/>
      <c r="AR810" s="10"/>
      <c r="AS810" s="10"/>
      <c r="AT810" s="10"/>
      <c r="AU810" s="10"/>
      <c r="AV810" s="11"/>
      <c r="AW810" s="11"/>
      <c r="AX810" s="10"/>
      <c r="AY810" s="11"/>
      <c r="AZ810" s="11"/>
      <c r="BA810" s="11"/>
      <c r="BB810" s="10"/>
      <c r="BC810" s="11"/>
      <c r="BD810" s="11"/>
      <c r="BE810" s="11"/>
      <c r="BF810" s="11"/>
      <c r="BG810" s="11"/>
      <c r="BH810" s="11"/>
      <c r="BI810" s="11"/>
      <c r="BJ810" s="11"/>
      <c r="BK810" s="11"/>
      <c r="BL810" s="11"/>
      <c r="BM810" s="11"/>
      <c r="BN810" s="11"/>
      <c r="BO810" s="11"/>
      <c r="BP810" s="11"/>
      <c r="BQ810" s="11"/>
      <c r="BR810" s="11"/>
      <c r="BS810" s="11"/>
      <c r="BT810" s="11"/>
      <c r="BU810" s="11"/>
      <c r="BV810" s="11"/>
      <c r="BW810" s="11"/>
      <c r="BX810" s="11"/>
      <c r="BY810" s="11"/>
      <c r="BZ810" s="11"/>
      <c r="CA810" s="11"/>
      <c r="CB810" s="11"/>
      <c r="CC810" s="17"/>
      <c r="CD810" s="17"/>
      <c r="CE810" s="11"/>
      <c r="CF810" s="13"/>
      <c r="CG810" s="13"/>
      <c r="CH810" s="13"/>
      <c r="CI810" s="13"/>
      <c r="CJ810" s="13"/>
    </row>
    <row r="811" spans="1:88" s="9" customFormat="1" x14ac:dyDescent="0.25">
      <c r="A811" s="10"/>
      <c r="B811" s="10"/>
      <c r="C811" s="10"/>
      <c r="D811" s="10"/>
      <c r="E811" s="11"/>
      <c r="F811" s="10"/>
      <c r="G811" s="10"/>
      <c r="H811" s="10"/>
      <c r="I811" s="10"/>
      <c r="J811" s="10"/>
      <c r="K811" s="12"/>
      <c r="L811" s="10"/>
      <c r="M811" s="10"/>
      <c r="N811" s="13"/>
      <c r="O811" s="10"/>
      <c r="P811" s="10"/>
      <c r="Q811" s="10"/>
      <c r="R811" s="18"/>
      <c r="S811" s="10"/>
      <c r="T811" s="10"/>
      <c r="U811" s="13"/>
      <c r="V811" s="13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3"/>
      <c r="AL811" s="14"/>
      <c r="AM811" s="15"/>
      <c r="AN811" s="15"/>
      <c r="AO811" s="13"/>
      <c r="AP811" s="13"/>
      <c r="AQ811" s="16"/>
      <c r="AR811" s="10"/>
      <c r="AS811" s="10"/>
      <c r="AT811" s="10"/>
      <c r="AU811" s="10"/>
      <c r="AV811" s="11"/>
      <c r="AW811" s="11"/>
      <c r="AX811" s="10"/>
      <c r="AY811" s="11"/>
      <c r="AZ811" s="11"/>
      <c r="BA811" s="11"/>
      <c r="BB811" s="10"/>
      <c r="BC811" s="11"/>
      <c r="BD811" s="11"/>
      <c r="BE811" s="11"/>
      <c r="BF811" s="11"/>
      <c r="BG811" s="11"/>
      <c r="BH811" s="11"/>
      <c r="BI811" s="11"/>
      <c r="BJ811" s="11"/>
      <c r="BK811" s="11"/>
      <c r="BL811" s="11"/>
      <c r="BM811" s="11"/>
      <c r="BN811" s="11"/>
      <c r="BO811" s="11"/>
      <c r="BP811" s="11"/>
      <c r="BQ811" s="11"/>
      <c r="BR811" s="11"/>
      <c r="BS811" s="11"/>
      <c r="BT811" s="11"/>
      <c r="BU811" s="11"/>
      <c r="BV811" s="11"/>
      <c r="BW811" s="11"/>
      <c r="BX811" s="11"/>
      <c r="BY811" s="11"/>
      <c r="BZ811" s="11"/>
      <c r="CA811" s="11"/>
      <c r="CB811" s="11"/>
      <c r="CC811" s="17"/>
      <c r="CD811" s="17"/>
      <c r="CE811" s="11"/>
      <c r="CF811" s="13"/>
      <c r="CG811" s="13"/>
      <c r="CH811" s="13"/>
      <c r="CI811" s="13"/>
      <c r="CJ811" s="13"/>
    </row>
    <row r="812" spans="1:88" s="9" customFormat="1" x14ac:dyDescent="0.25">
      <c r="A812" s="10"/>
      <c r="B812" s="10"/>
      <c r="C812" s="10"/>
      <c r="D812" s="10"/>
      <c r="E812" s="11"/>
      <c r="F812" s="10"/>
      <c r="G812" s="10"/>
      <c r="H812" s="10"/>
      <c r="I812" s="10"/>
      <c r="J812" s="10"/>
      <c r="K812" s="12"/>
      <c r="L812" s="10"/>
      <c r="M812" s="10"/>
      <c r="N812" s="13"/>
      <c r="O812" s="10"/>
      <c r="P812" s="10"/>
      <c r="Q812" s="10"/>
      <c r="R812" s="18"/>
      <c r="S812" s="10"/>
      <c r="T812" s="10"/>
      <c r="U812" s="13"/>
      <c r="V812" s="13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3"/>
      <c r="AL812" s="14"/>
      <c r="AM812" s="15"/>
      <c r="AN812" s="15"/>
      <c r="AO812" s="13"/>
      <c r="AP812" s="13"/>
      <c r="AQ812" s="16"/>
      <c r="AR812" s="10"/>
      <c r="AS812" s="10"/>
      <c r="AT812" s="10"/>
      <c r="AU812" s="10"/>
      <c r="AV812" s="11"/>
      <c r="AW812" s="11"/>
      <c r="AX812" s="10"/>
      <c r="AY812" s="11"/>
      <c r="AZ812" s="11"/>
      <c r="BA812" s="11"/>
      <c r="BB812" s="10"/>
      <c r="BC812" s="11"/>
      <c r="BD812" s="11"/>
      <c r="BE812" s="11"/>
      <c r="BF812" s="11"/>
      <c r="BG812" s="11"/>
      <c r="BH812" s="11"/>
      <c r="BI812" s="11"/>
      <c r="BJ812" s="11"/>
      <c r="BK812" s="11"/>
      <c r="BL812" s="11"/>
      <c r="BM812" s="11"/>
      <c r="BN812" s="11"/>
      <c r="BO812" s="11"/>
      <c r="BP812" s="11"/>
      <c r="BQ812" s="11"/>
      <c r="BR812" s="11"/>
      <c r="BS812" s="11"/>
      <c r="BT812" s="11"/>
      <c r="BU812" s="11"/>
      <c r="BV812" s="11"/>
      <c r="BW812" s="11"/>
      <c r="BX812" s="11"/>
      <c r="BY812" s="11"/>
      <c r="BZ812" s="11"/>
      <c r="CA812" s="11"/>
      <c r="CB812" s="11"/>
      <c r="CC812" s="17"/>
      <c r="CD812" s="17"/>
      <c r="CE812" s="11"/>
      <c r="CF812" s="13"/>
      <c r="CG812" s="13"/>
      <c r="CH812" s="13"/>
      <c r="CI812" s="13"/>
      <c r="CJ812" s="13"/>
    </row>
    <row r="813" spans="1:88" s="9" customFormat="1" x14ac:dyDescent="0.25">
      <c r="A813" s="10"/>
      <c r="B813" s="10"/>
      <c r="C813" s="10"/>
      <c r="D813" s="10"/>
      <c r="E813" s="11"/>
      <c r="F813" s="10"/>
      <c r="G813" s="10"/>
      <c r="H813" s="10"/>
      <c r="I813" s="10"/>
      <c r="J813" s="10"/>
      <c r="K813" s="12"/>
      <c r="L813" s="10"/>
      <c r="M813" s="10"/>
      <c r="N813" s="13"/>
      <c r="O813" s="10"/>
      <c r="P813" s="10"/>
      <c r="Q813" s="10"/>
      <c r="R813" s="18"/>
      <c r="S813" s="10"/>
      <c r="T813" s="10"/>
      <c r="U813" s="13"/>
      <c r="V813" s="13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3"/>
      <c r="AL813" s="14"/>
      <c r="AM813" s="15"/>
      <c r="AN813" s="15"/>
      <c r="AO813" s="13"/>
      <c r="AP813" s="13"/>
      <c r="AQ813" s="16"/>
      <c r="AR813" s="10"/>
      <c r="AS813" s="10"/>
      <c r="AT813" s="10"/>
      <c r="AU813" s="10"/>
      <c r="AV813" s="11"/>
      <c r="AW813" s="11"/>
      <c r="AX813" s="10"/>
      <c r="AY813" s="11"/>
      <c r="AZ813" s="11"/>
      <c r="BA813" s="11"/>
      <c r="BB813" s="10"/>
      <c r="BC813" s="11"/>
      <c r="BD813" s="11"/>
      <c r="BE813" s="11"/>
      <c r="BF813" s="11"/>
      <c r="BG813" s="11"/>
      <c r="BH813" s="11"/>
      <c r="BI813" s="11"/>
      <c r="BJ813" s="11"/>
      <c r="BK813" s="11"/>
      <c r="BL813" s="11"/>
      <c r="BM813" s="11"/>
      <c r="BN813" s="11"/>
      <c r="BO813" s="11"/>
      <c r="BP813" s="11"/>
      <c r="BQ813" s="11"/>
      <c r="BR813" s="11"/>
      <c r="BS813" s="11"/>
      <c r="BT813" s="11"/>
      <c r="BU813" s="11"/>
      <c r="BV813" s="11"/>
      <c r="BW813" s="11"/>
      <c r="BX813" s="11"/>
      <c r="BY813" s="11"/>
      <c r="BZ813" s="11"/>
      <c r="CA813" s="11"/>
      <c r="CB813" s="11"/>
      <c r="CC813" s="17"/>
      <c r="CD813" s="17"/>
      <c r="CE813" s="11"/>
      <c r="CF813" s="13"/>
      <c r="CG813" s="13"/>
      <c r="CH813" s="13"/>
      <c r="CI813" s="13"/>
      <c r="CJ813" s="13"/>
    </row>
    <row r="814" spans="1:88" s="9" customFormat="1" x14ac:dyDescent="0.25">
      <c r="A814" s="10"/>
      <c r="B814" s="10"/>
      <c r="C814" s="10"/>
      <c r="D814" s="10"/>
      <c r="E814" s="11"/>
      <c r="F814" s="10"/>
      <c r="G814" s="10"/>
      <c r="H814" s="10"/>
      <c r="I814" s="10"/>
      <c r="J814" s="10"/>
      <c r="K814" s="12"/>
      <c r="L814" s="10"/>
      <c r="M814" s="10"/>
      <c r="N814" s="13"/>
      <c r="O814" s="10"/>
      <c r="P814" s="10"/>
      <c r="Q814" s="10"/>
      <c r="R814" s="18"/>
      <c r="S814" s="10"/>
      <c r="T814" s="10"/>
      <c r="U814" s="13"/>
      <c r="V814" s="13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3"/>
      <c r="AL814" s="14"/>
      <c r="AM814" s="15"/>
      <c r="AN814" s="15"/>
      <c r="AO814" s="13"/>
      <c r="AP814" s="13"/>
      <c r="AQ814" s="16"/>
      <c r="AR814" s="10"/>
      <c r="AS814" s="10"/>
      <c r="AT814" s="10"/>
      <c r="AU814" s="10"/>
      <c r="AV814" s="11"/>
      <c r="AW814" s="11"/>
      <c r="AX814" s="10"/>
      <c r="AY814" s="11"/>
      <c r="AZ814" s="11"/>
      <c r="BA814" s="11"/>
      <c r="BB814" s="10"/>
      <c r="BC814" s="11"/>
      <c r="BD814" s="11"/>
      <c r="BE814" s="11"/>
      <c r="BF814" s="11"/>
      <c r="BG814" s="11"/>
      <c r="BH814" s="11"/>
      <c r="BI814" s="11"/>
      <c r="BJ814" s="11"/>
      <c r="BK814" s="11"/>
      <c r="BL814" s="11"/>
      <c r="BM814" s="11"/>
      <c r="BN814" s="11"/>
      <c r="BO814" s="11"/>
      <c r="BP814" s="11"/>
      <c r="BQ814" s="11"/>
      <c r="BR814" s="11"/>
      <c r="BS814" s="11"/>
      <c r="BT814" s="11"/>
      <c r="BU814" s="11"/>
      <c r="BV814" s="11"/>
      <c r="BW814" s="11"/>
      <c r="BX814" s="11"/>
      <c r="BY814" s="11"/>
      <c r="BZ814" s="11"/>
      <c r="CA814" s="11"/>
      <c r="CB814" s="11"/>
      <c r="CC814" s="17"/>
      <c r="CD814" s="17"/>
      <c r="CE814" s="11"/>
      <c r="CF814" s="13"/>
      <c r="CG814" s="13"/>
      <c r="CH814" s="13"/>
      <c r="CI814" s="13"/>
      <c r="CJ814" s="13"/>
    </row>
    <row r="815" spans="1:88" s="9" customFormat="1" x14ac:dyDescent="0.25">
      <c r="A815" s="10"/>
      <c r="B815" s="10"/>
      <c r="C815" s="10"/>
      <c r="D815" s="10"/>
      <c r="E815" s="11"/>
      <c r="F815" s="10"/>
      <c r="G815" s="10"/>
      <c r="H815" s="10"/>
      <c r="I815" s="10"/>
      <c r="J815" s="10"/>
      <c r="K815" s="12"/>
      <c r="L815" s="10"/>
      <c r="M815" s="10"/>
      <c r="N815" s="13"/>
      <c r="O815" s="10"/>
      <c r="P815" s="10"/>
      <c r="Q815" s="10"/>
      <c r="R815" s="18"/>
      <c r="S815" s="10"/>
      <c r="T815" s="10"/>
      <c r="U815" s="13"/>
      <c r="V815" s="13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3"/>
      <c r="AL815" s="14"/>
      <c r="AM815" s="15"/>
      <c r="AN815" s="15"/>
      <c r="AO815" s="13"/>
      <c r="AP815" s="13"/>
      <c r="AQ815" s="16"/>
      <c r="AR815" s="10"/>
      <c r="AS815" s="10"/>
      <c r="AT815" s="10"/>
      <c r="AU815" s="10"/>
      <c r="AV815" s="11"/>
      <c r="AW815" s="11"/>
      <c r="AX815" s="10"/>
      <c r="AY815" s="11"/>
      <c r="AZ815" s="11"/>
      <c r="BA815" s="11"/>
      <c r="BB815" s="10"/>
      <c r="BC815" s="11"/>
      <c r="BD815" s="11"/>
      <c r="BE815" s="11"/>
      <c r="BF815" s="11"/>
      <c r="BG815" s="11"/>
      <c r="BH815" s="11"/>
      <c r="BI815" s="11"/>
      <c r="BJ815" s="11"/>
      <c r="BK815" s="11"/>
      <c r="BL815" s="11"/>
      <c r="BM815" s="11"/>
      <c r="BN815" s="11"/>
      <c r="BO815" s="11"/>
      <c r="BP815" s="11"/>
      <c r="BQ815" s="11"/>
      <c r="BR815" s="11"/>
      <c r="BS815" s="11"/>
      <c r="BT815" s="11"/>
      <c r="BU815" s="11"/>
      <c r="BV815" s="11"/>
      <c r="BW815" s="11"/>
      <c r="BX815" s="11"/>
      <c r="BY815" s="11"/>
      <c r="BZ815" s="11"/>
      <c r="CA815" s="11"/>
      <c r="CB815" s="11"/>
      <c r="CC815" s="17"/>
      <c r="CD815" s="17"/>
      <c r="CE815" s="11"/>
      <c r="CF815" s="13"/>
      <c r="CG815" s="13"/>
      <c r="CH815" s="13"/>
      <c r="CI815" s="13"/>
      <c r="CJ815" s="13"/>
    </row>
    <row r="816" spans="1:88" s="9" customFormat="1" x14ac:dyDescent="0.25">
      <c r="A816" s="10"/>
      <c r="B816" s="10"/>
      <c r="C816" s="10"/>
      <c r="D816" s="10"/>
      <c r="E816" s="11"/>
      <c r="F816" s="10"/>
      <c r="G816" s="10"/>
      <c r="H816" s="10"/>
      <c r="I816" s="10"/>
      <c r="J816" s="10"/>
      <c r="K816" s="12"/>
      <c r="L816" s="10"/>
      <c r="M816" s="10"/>
      <c r="N816" s="13"/>
      <c r="O816" s="10"/>
      <c r="P816" s="10"/>
      <c r="Q816" s="10"/>
      <c r="R816" s="18"/>
      <c r="S816" s="10"/>
      <c r="T816" s="10"/>
      <c r="U816" s="13"/>
      <c r="V816" s="13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3"/>
      <c r="AL816" s="14"/>
      <c r="AM816" s="15"/>
      <c r="AN816" s="15"/>
      <c r="AO816" s="13"/>
      <c r="AP816" s="13"/>
      <c r="AQ816" s="16"/>
      <c r="AR816" s="10"/>
      <c r="AS816" s="10"/>
      <c r="AT816" s="10"/>
      <c r="AU816" s="10"/>
      <c r="AV816" s="11"/>
      <c r="AW816" s="11"/>
      <c r="AX816" s="10"/>
      <c r="AY816" s="11"/>
      <c r="AZ816" s="11"/>
      <c r="BA816" s="11"/>
      <c r="BB816" s="10"/>
      <c r="BC816" s="11"/>
      <c r="BD816" s="11"/>
      <c r="BE816" s="11"/>
      <c r="BF816" s="11"/>
      <c r="BG816" s="11"/>
      <c r="BH816" s="11"/>
      <c r="BI816" s="11"/>
      <c r="BJ816" s="11"/>
      <c r="BK816" s="11"/>
      <c r="BL816" s="11"/>
      <c r="BM816" s="11"/>
      <c r="BN816" s="11"/>
      <c r="BO816" s="11"/>
      <c r="BP816" s="11"/>
      <c r="BQ816" s="11"/>
      <c r="BR816" s="11"/>
      <c r="BS816" s="11"/>
      <c r="BT816" s="11"/>
      <c r="BU816" s="11"/>
      <c r="BV816" s="11"/>
      <c r="BW816" s="11"/>
      <c r="BX816" s="11"/>
      <c r="BY816" s="11"/>
      <c r="BZ816" s="11"/>
      <c r="CA816" s="11"/>
      <c r="CB816" s="11"/>
      <c r="CC816" s="17"/>
      <c r="CD816" s="17"/>
      <c r="CE816" s="11"/>
      <c r="CF816" s="13"/>
      <c r="CG816" s="13"/>
      <c r="CH816" s="13"/>
      <c r="CI816" s="13"/>
      <c r="CJ816" s="13"/>
    </row>
    <row r="817" spans="1:88" s="9" customFormat="1" x14ac:dyDescent="0.25">
      <c r="A817" s="10"/>
      <c r="B817" s="10"/>
      <c r="C817" s="10"/>
      <c r="D817" s="10"/>
      <c r="E817" s="11"/>
      <c r="F817" s="10"/>
      <c r="G817" s="10"/>
      <c r="H817" s="10"/>
      <c r="I817" s="10"/>
      <c r="J817" s="10"/>
      <c r="K817" s="12"/>
      <c r="L817" s="10"/>
      <c r="M817" s="10"/>
      <c r="N817" s="13"/>
      <c r="O817" s="10"/>
      <c r="P817" s="10"/>
      <c r="Q817" s="10"/>
      <c r="R817" s="18"/>
      <c r="S817" s="10"/>
      <c r="T817" s="10"/>
      <c r="U817" s="13"/>
      <c r="V817" s="13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3"/>
      <c r="AL817" s="14"/>
      <c r="AM817" s="15"/>
      <c r="AN817" s="15"/>
      <c r="AO817" s="13"/>
      <c r="AP817" s="13"/>
      <c r="AQ817" s="16"/>
      <c r="AR817" s="10"/>
      <c r="AS817" s="10"/>
      <c r="AT817" s="10"/>
      <c r="AU817" s="10"/>
      <c r="AV817" s="11"/>
      <c r="AW817" s="11"/>
      <c r="AX817" s="10"/>
      <c r="AY817" s="11"/>
      <c r="AZ817" s="11"/>
      <c r="BA817" s="11"/>
      <c r="BB817" s="10"/>
      <c r="BC817" s="11"/>
      <c r="BD817" s="11"/>
      <c r="BE817" s="11"/>
      <c r="BF817" s="11"/>
      <c r="BG817" s="11"/>
      <c r="BH817" s="11"/>
      <c r="BI817" s="11"/>
      <c r="BJ817" s="11"/>
      <c r="BK817" s="11"/>
      <c r="BL817" s="11"/>
      <c r="BM817" s="11"/>
      <c r="BN817" s="11"/>
      <c r="BO817" s="11"/>
      <c r="BP817" s="11"/>
      <c r="BQ817" s="11"/>
      <c r="BR817" s="11"/>
      <c r="BS817" s="11"/>
      <c r="BT817" s="11"/>
      <c r="BU817" s="11"/>
      <c r="BV817" s="11"/>
      <c r="BW817" s="11"/>
      <c r="BX817" s="11"/>
      <c r="BY817" s="11"/>
      <c r="BZ817" s="11"/>
      <c r="CA817" s="11"/>
      <c r="CB817" s="11"/>
      <c r="CC817" s="17"/>
      <c r="CD817" s="17"/>
      <c r="CE817" s="11"/>
      <c r="CF817" s="13"/>
      <c r="CG817" s="13"/>
      <c r="CH817" s="13"/>
      <c r="CI817" s="13"/>
      <c r="CJ817" s="13"/>
    </row>
    <row r="818" spans="1:88" s="9" customFormat="1" x14ac:dyDescent="0.25">
      <c r="A818" s="10"/>
      <c r="B818" s="10"/>
      <c r="C818" s="10"/>
      <c r="D818" s="10"/>
      <c r="E818" s="11"/>
      <c r="F818" s="10"/>
      <c r="G818" s="10"/>
      <c r="H818" s="10"/>
      <c r="I818" s="10"/>
      <c r="J818" s="10"/>
      <c r="K818" s="12"/>
      <c r="L818" s="10"/>
      <c r="M818" s="10"/>
      <c r="N818" s="13"/>
      <c r="O818" s="10"/>
      <c r="P818" s="10"/>
      <c r="Q818" s="10"/>
      <c r="R818" s="18"/>
      <c r="S818" s="10"/>
      <c r="T818" s="10"/>
      <c r="U818" s="13"/>
      <c r="V818" s="13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3"/>
      <c r="AL818" s="14"/>
      <c r="AM818" s="15"/>
      <c r="AN818" s="15"/>
      <c r="AO818" s="13"/>
      <c r="AP818" s="13"/>
      <c r="AQ818" s="16"/>
      <c r="AR818" s="10"/>
      <c r="AS818" s="10"/>
      <c r="AT818" s="10"/>
      <c r="AU818" s="10"/>
      <c r="AV818" s="11"/>
      <c r="AW818" s="11"/>
      <c r="AX818" s="10"/>
      <c r="AY818" s="11"/>
      <c r="AZ818" s="11"/>
      <c r="BA818" s="11"/>
      <c r="BB818" s="10"/>
      <c r="BC818" s="11"/>
      <c r="BD818" s="11"/>
      <c r="BE818" s="11"/>
      <c r="BF818" s="11"/>
      <c r="BG818" s="11"/>
      <c r="BH818" s="11"/>
      <c r="BI818" s="11"/>
      <c r="BJ818" s="11"/>
      <c r="BK818" s="11"/>
      <c r="BL818" s="11"/>
      <c r="BM818" s="11"/>
      <c r="BN818" s="11"/>
      <c r="BO818" s="11"/>
      <c r="BP818" s="11"/>
      <c r="BQ818" s="11"/>
      <c r="BR818" s="11"/>
      <c r="BS818" s="11"/>
      <c r="BT818" s="11"/>
      <c r="BU818" s="11"/>
      <c r="BV818" s="11"/>
      <c r="BW818" s="11"/>
      <c r="BX818" s="11"/>
      <c r="BY818" s="11"/>
      <c r="BZ818" s="11"/>
      <c r="CA818" s="11"/>
      <c r="CB818" s="11"/>
      <c r="CC818" s="17"/>
      <c r="CD818" s="17"/>
      <c r="CE818" s="11"/>
      <c r="CF818" s="13"/>
      <c r="CG818" s="13"/>
      <c r="CH818" s="13"/>
      <c r="CI818" s="13"/>
      <c r="CJ818" s="13"/>
    </row>
    <row r="819" spans="1:88" s="9" customFormat="1" x14ac:dyDescent="0.25">
      <c r="A819" s="10"/>
      <c r="B819" s="10"/>
      <c r="C819" s="10"/>
      <c r="D819" s="10"/>
      <c r="E819" s="11"/>
      <c r="F819" s="10"/>
      <c r="G819" s="10"/>
      <c r="H819" s="10"/>
      <c r="I819" s="10"/>
      <c r="J819" s="10"/>
      <c r="K819" s="12"/>
      <c r="L819" s="10"/>
      <c r="M819" s="10"/>
      <c r="N819" s="13"/>
      <c r="O819" s="10"/>
      <c r="P819" s="10"/>
      <c r="Q819" s="10"/>
      <c r="R819" s="18"/>
      <c r="S819" s="10"/>
      <c r="T819" s="10"/>
      <c r="U819" s="13"/>
      <c r="V819" s="13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3"/>
      <c r="AL819" s="14"/>
      <c r="AM819" s="15"/>
      <c r="AN819" s="15"/>
      <c r="AO819" s="13"/>
      <c r="AP819" s="13"/>
      <c r="AQ819" s="16"/>
      <c r="AR819" s="10"/>
      <c r="AS819" s="10"/>
      <c r="AT819" s="10"/>
      <c r="AU819" s="10"/>
      <c r="AV819" s="11"/>
      <c r="AW819" s="11"/>
      <c r="AX819" s="10"/>
      <c r="AY819" s="11"/>
      <c r="AZ819" s="11"/>
      <c r="BA819" s="11"/>
      <c r="BB819" s="10"/>
      <c r="BC819" s="11"/>
      <c r="BD819" s="11"/>
      <c r="BE819" s="11"/>
      <c r="BF819" s="11"/>
      <c r="BG819" s="11"/>
      <c r="BH819" s="11"/>
      <c r="BI819" s="11"/>
      <c r="BJ819" s="11"/>
      <c r="BK819" s="11"/>
      <c r="BL819" s="11"/>
      <c r="BM819" s="11"/>
      <c r="BN819" s="11"/>
      <c r="BO819" s="11"/>
      <c r="BP819" s="11"/>
      <c r="BQ819" s="11"/>
      <c r="BR819" s="11"/>
      <c r="BS819" s="11"/>
      <c r="BT819" s="11"/>
      <c r="BU819" s="11"/>
      <c r="BV819" s="11"/>
      <c r="BW819" s="11"/>
      <c r="BX819" s="11"/>
      <c r="BY819" s="11"/>
      <c r="BZ819" s="11"/>
      <c r="CA819" s="11"/>
      <c r="CB819" s="11"/>
      <c r="CC819" s="17"/>
      <c r="CD819" s="17"/>
      <c r="CE819" s="11"/>
      <c r="CF819" s="13"/>
      <c r="CG819" s="13"/>
      <c r="CH819" s="13"/>
      <c r="CI819" s="13"/>
      <c r="CJ819" s="13"/>
    </row>
    <row r="820" spans="1:88" s="9" customFormat="1" x14ac:dyDescent="0.25">
      <c r="A820" s="10"/>
      <c r="B820" s="10"/>
      <c r="C820" s="10"/>
      <c r="D820" s="10"/>
      <c r="E820" s="11"/>
      <c r="F820" s="10"/>
      <c r="G820" s="10"/>
      <c r="H820" s="10"/>
      <c r="I820" s="10"/>
      <c r="J820" s="10"/>
      <c r="K820" s="12"/>
      <c r="L820" s="10"/>
      <c r="M820" s="10"/>
      <c r="N820" s="13"/>
      <c r="O820" s="10"/>
      <c r="P820" s="10"/>
      <c r="Q820" s="10"/>
      <c r="R820" s="18"/>
      <c r="S820" s="10"/>
      <c r="T820" s="10"/>
      <c r="U820" s="13"/>
      <c r="V820" s="13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3"/>
      <c r="AL820" s="14"/>
      <c r="AM820" s="15"/>
      <c r="AN820" s="15"/>
      <c r="AO820" s="13"/>
      <c r="AP820" s="13"/>
      <c r="AQ820" s="16"/>
      <c r="AR820" s="10"/>
      <c r="AS820" s="10"/>
      <c r="AT820" s="10"/>
      <c r="AU820" s="10"/>
      <c r="AV820" s="11"/>
      <c r="AW820" s="11"/>
      <c r="AX820" s="10"/>
      <c r="AY820" s="11"/>
      <c r="AZ820" s="11"/>
      <c r="BA820" s="11"/>
      <c r="BB820" s="10"/>
      <c r="BC820" s="11"/>
      <c r="BD820" s="11"/>
      <c r="BE820" s="11"/>
      <c r="BF820" s="11"/>
      <c r="BG820" s="11"/>
      <c r="BH820" s="11"/>
      <c r="BI820" s="11"/>
      <c r="BJ820" s="11"/>
      <c r="BK820" s="11"/>
      <c r="BL820" s="11"/>
      <c r="BM820" s="11"/>
      <c r="BN820" s="11"/>
      <c r="BO820" s="11"/>
      <c r="BP820" s="11"/>
      <c r="BQ820" s="11"/>
      <c r="BR820" s="11"/>
      <c r="BS820" s="11"/>
      <c r="BT820" s="11"/>
      <c r="BU820" s="11"/>
      <c r="BV820" s="11"/>
      <c r="BW820" s="11"/>
      <c r="BX820" s="11"/>
      <c r="BY820" s="11"/>
      <c r="BZ820" s="11"/>
      <c r="CA820" s="11"/>
      <c r="CB820" s="11"/>
      <c r="CC820" s="17"/>
      <c r="CD820" s="17"/>
      <c r="CE820" s="11"/>
      <c r="CF820" s="13"/>
      <c r="CG820" s="13"/>
      <c r="CH820" s="13"/>
      <c r="CI820" s="13"/>
      <c r="CJ820" s="13"/>
    </row>
    <row r="821" spans="1:88" s="9" customFormat="1" x14ac:dyDescent="0.25">
      <c r="A821" s="10"/>
      <c r="B821" s="10"/>
      <c r="C821" s="10"/>
      <c r="D821" s="10"/>
      <c r="E821" s="11"/>
      <c r="F821" s="10"/>
      <c r="G821" s="10"/>
      <c r="H821" s="10"/>
      <c r="I821" s="10"/>
      <c r="J821" s="10"/>
      <c r="K821" s="12"/>
      <c r="L821" s="10"/>
      <c r="M821" s="10"/>
      <c r="N821" s="13"/>
      <c r="O821" s="10"/>
      <c r="P821" s="10"/>
      <c r="Q821" s="10"/>
      <c r="R821" s="18"/>
      <c r="S821" s="10"/>
      <c r="T821" s="10"/>
      <c r="U821" s="13"/>
      <c r="V821" s="13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3"/>
      <c r="AL821" s="14"/>
      <c r="AM821" s="15"/>
      <c r="AN821" s="15"/>
      <c r="AO821" s="13"/>
      <c r="AP821" s="13"/>
      <c r="AQ821" s="16"/>
      <c r="AR821" s="10"/>
      <c r="AS821" s="10"/>
      <c r="AT821" s="10"/>
      <c r="AU821" s="10"/>
      <c r="AV821" s="11"/>
      <c r="AW821" s="11"/>
      <c r="AX821" s="10"/>
      <c r="AY821" s="11"/>
      <c r="AZ821" s="11"/>
      <c r="BA821" s="11"/>
      <c r="BB821" s="10"/>
      <c r="BC821" s="11"/>
      <c r="BD821" s="11"/>
      <c r="BE821" s="11"/>
      <c r="BF821" s="11"/>
      <c r="BG821" s="11"/>
      <c r="BH821" s="11"/>
      <c r="BI821" s="11"/>
      <c r="BJ821" s="11"/>
      <c r="BK821" s="11"/>
      <c r="BL821" s="11"/>
      <c r="BM821" s="11"/>
      <c r="BN821" s="11"/>
      <c r="BO821" s="11"/>
      <c r="BP821" s="11"/>
      <c r="BQ821" s="11"/>
      <c r="BR821" s="11"/>
      <c r="BS821" s="11"/>
      <c r="BT821" s="11"/>
      <c r="BU821" s="11"/>
      <c r="BV821" s="11"/>
      <c r="BW821" s="11"/>
      <c r="BX821" s="11"/>
      <c r="BY821" s="11"/>
      <c r="BZ821" s="11"/>
      <c r="CA821" s="11"/>
      <c r="CB821" s="11"/>
      <c r="CC821" s="17"/>
      <c r="CD821" s="17"/>
      <c r="CE821" s="11"/>
      <c r="CF821" s="13"/>
      <c r="CG821" s="13"/>
      <c r="CH821" s="13"/>
      <c r="CI821" s="13"/>
      <c r="CJ821" s="13"/>
    </row>
    <row r="822" spans="1:88" s="9" customFormat="1" x14ac:dyDescent="0.25">
      <c r="A822" s="10"/>
      <c r="B822" s="10"/>
      <c r="C822" s="10"/>
      <c r="D822" s="10"/>
      <c r="E822" s="11"/>
      <c r="F822" s="10"/>
      <c r="G822" s="10"/>
      <c r="H822" s="10"/>
      <c r="I822" s="10"/>
      <c r="J822" s="10"/>
      <c r="K822" s="12"/>
      <c r="L822" s="10"/>
      <c r="M822" s="10"/>
      <c r="N822" s="13"/>
      <c r="O822" s="10"/>
      <c r="P822" s="10"/>
      <c r="Q822" s="10"/>
      <c r="R822" s="18"/>
      <c r="S822" s="10"/>
      <c r="T822" s="10"/>
      <c r="U822" s="13"/>
      <c r="V822" s="13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3"/>
      <c r="AL822" s="14"/>
      <c r="AM822" s="15"/>
      <c r="AN822" s="15"/>
      <c r="AO822" s="13"/>
      <c r="AP822" s="13"/>
      <c r="AQ822" s="16"/>
      <c r="AR822" s="10"/>
      <c r="AS822" s="10"/>
      <c r="AT822" s="10"/>
      <c r="AU822" s="10"/>
      <c r="AV822" s="11"/>
      <c r="AW822" s="11"/>
      <c r="AX822" s="10"/>
      <c r="AY822" s="11"/>
      <c r="AZ822" s="11"/>
      <c r="BA822" s="11"/>
      <c r="BB822" s="10"/>
      <c r="BC822" s="11"/>
      <c r="BD822" s="11"/>
      <c r="BE822" s="11"/>
      <c r="BF822" s="11"/>
      <c r="BG822" s="11"/>
      <c r="BH822" s="11"/>
      <c r="BI822" s="11"/>
      <c r="BJ822" s="11"/>
      <c r="BK822" s="11"/>
      <c r="BL822" s="11"/>
      <c r="BM822" s="11"/>
      <c r="BN822" s="11"/>
      <c r="BO822" s="11"/>
      <c r="BP822" s="11"/>
      <c r="BQ822" s="11"/>
      <c r="BR822" s="11"/>
      <c r="BS822" s="11"/>
      <c r="BT822" s="11"/>
      <c r="BU822" s="11"/>
      <c r="BV822" s="11"/>
      <c r="BW822" s="11"/>
      <c r="BX822" s="11"/>
      <c r="BY822" s="11"/>
      <c r="BZ822" s="11"/>
      <c r="CA822" s="11"/>
      <c r="CB822" s="11"/>
      <c r="CC822" s="17"/>
      <c r="CD822" s="17"/>
      <c r="CE822" s="11"/>
      <c r="CF822" s="13"/>
      <c r="CG822" s="13"/>
      <c r="CH822" s="13"/>
      <c r="CI822" s="13"/>
      <c r="CJ822" s="13"/>
    </row>
    <row r="823" spans="1:88" s="9" customFormat="1" x14ac:dyDescent="0.25">
      <c r="A823" s="10"/>
      <c r="B823" s="10"/>
      <c r="C823" s="10"/>
      <c r="D823" s="10"/>
      <c r="E823" s="11"/>
      <c r="F823" s="10"/>
      <c r="G823" s="10"/>
      <c r="H823" s="10"/>
      <c r="I823" s="10"/>
      <c r="J823" s="10"/>
      <c r="K823" s="12"/>
      <c r="L823" s="10"/>
      <c r="M823" s="10"/>
      <c r="N823" s="13"/>
      <c r="O823" s="10"/>
      <c r="P823" s="10"/>
      <c r="Q823" s="10"/>
      <c r="R823" s="18"/>
      <c r="S823" s="10"/>
      <c r="T823" s="10"/>
      <c r="U823" s="13"/>
      <c r="V823" s="13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3"/>
      <c r="AL823" s="14"/>
      <c r="AM823" s="15"/>
      <c r="AN823" s="15"/>
      <c r="AO823" s="13"/>
      <c r="AP823" s="13"/>
      <c r="AQ823" s="16"/>
      <c r="AR823" s="10"/>
      <c r="AS823" s="10"/>
      <c r="AT823" s="10"/>
      <c r="AU823" s="10"/>
      <c r="AV823" s="11"/>
      <c r="AW823" s="11"/>
      <c r="AX823" s="10"/>
      <c r="AY823" s="11"/>
      <c r="AZ823" s="11"/>
      <c r="BA823" s="11"/>
      <c r="BB823" s="10"/>
      <c r="BC823" s="11"/>
      <c r="BD823" s="11"/>
      <c r="BE823" s="11"/>
      <c r="BF823" s="11"/>
      <c r="BG823" s="11"/>
      <c r="BH823" s="11"/>
      <c r="BI823" s="11"/>
      <c r="BJ823" s="11"/>
      <c r="BK823" s="11"/>
      <c r="BL823" s="11"/>
      <c r="BM823" s="11"/>
      <c r="BN823" s="11"/>
      <c r="BO823" s="11"/>
      <c r="BP823" s="11"/>
      <c r="BQ823" s="11"/>
      <c r="BR823" s="11"/>
      <c r="BS823" s="11"/>
      <c r="BT823" s="11"/>
      <c r="BU823" s="11"/>
      <c r="BV823" s="11"/>
      <c r="BW823" s="11"/>
      <c r="BX823" s="11"/>
      <c r="BY823" s="11"/>
      <c r="BZ823" s="11"/>
      <c r="CA823" s="11"/>
      <c r="CB823" s="11"/>
      <c r="CC823" s="17"/>
      <c r="CD823" s="17"/>
      <c r="CE823" s="11"/>
      <c r="CF823" s="13"/>
      <c r="CG823" s="13"/>
      <c r="CH823" s="13"/>
      <c r="CI823" s="13"/>
      <c r="CJ823" s="13"/>
    </row>
    <row r="824" spans="1:88" s="9" customFormat="1" x14ac:dyDescent="0.25">
      <c r="A824" s="10"/>
      <c r="B824" s="10"/>
      <c r="C824" s="10"/>
      <c r="D824" s="10"/>
      <c r="E824" s="11"/>
      <c r="F824" s="10"/>
      <c r="G824" s="10"/>
      <c r="H824" s="10"/>
      <c r="I824" s="10"/>
      <c r="J824" s="10"/>
      <c r="K824" s="12"/>
      <c r="L824" s="10"/>
      <c r="M824" s="10"/>
      <c r="N824" s="13"/>
      <c r="O824" s="10"/>
      <c r="P824" s="10"/>
      <c r="Q824" s="10"/>
      <c r="R824" s="18"/>
      <c r="S824" s="10"/>
      <c r="T824" s="10"/>
      <c r="U824" s="13"/>
      <c r="V824" s="13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3"/>
      <c r="AL824" s="14"/>
      <c r="AM824" s="15"/>
      <c r="AN824" s="15"/>
      <c r="AO824" s="13"/>
      <c r="AP824" s="13"/>
      <c r="AQ824" s="16"/>
      <c r="AR824" s="10"/>
      <c r="AS824" s="10"/>
      <c r="AT824" s="10"/>
      <c r="AU824" s="10"/>
      <c r="AV824" s="11"/>
      <c r="AW824" s="11"/>
      <c r="AX824" s="10"/>
      <c r="AY824" s="11"/>
      <c r="AZ824" s="11"/>
      <c r="BA824" s="11"/>
      <c r="BB824" s="10"/>
      <c r="BC824" s="11"/>
      <c r="BD824" s="11"/>
      <c r="BE824" s="11"/>
      <c r="BF824" s="11"/>
      <c r="BG824" s="11"/>
      <c r="BH824" s="11"/>
      <c r="BI824" s="11"/>
      <c r="BJ824" s="11"/>
      <c r="BK824" s="11"/>
      <c r="BL824" s="11"/>
      <c r="BM824" s="11"/>
      <c r="BN824" s="11"/>
      <c r="BO824" s="11"/>
      <c r="BP824" s="11"/>
      <c r="BQ824" s="11"/>
      <c r="BR824" s="11"/>
      <c r="BS824" s="11"/>
      <c r="BT824" s="11"/>
      <c r="BU824" s="11"/>
      <c r="BV824" s="11"/>
      <c r="BW824" s="11"/>
      <c r="BX824" s="11"/>
      <c r="BY824" s="11"/>
      <c r="BZ824" s="11"/>
      <c r="CA824" s="11"/>
      <c r="CB824" s="11"/>
      <c r="CC824" s="17"/>
      <c r="CD824" s="17"/>
      <c r="CE824" s="11"/>
      <c r="CF824" s="13"/>
      <c r="CG824" s="13"/>
      <c r="CH824" s="13"/>
      <c r="CI824" s="13"/>
      <c r="CJ824" s="13"/>
    </row>
    <row r="825" spans="1:88" s="9" customFormat="1" x14ac:dyDescent="0.25">
      <c r="A825" s="10"/>
      <c r="B825" s="10"/>
      <c r="C825" s="10"/>
      <c r="D825" s="10"/>
      <c r="E825" s="11"/>
      <c r="F825" s="10"/>
      <c r="G825" s="10"/>
      <c r="H825" s="10"/>
      <c r="I825" s="10"/>
      <c r="J825" s="10"/>
      <c r="K825" s="12"/>
      <c r="L825" s="10"/>
      <c r="M825" s="10"/>
      <c r="N825" s="13"/>
      <c r="O825" s="10"/>
      <c r="P825" s="10"/>
      <c r="Q825" s="10"/>
      <c r="R825" s="18"/>
      <c r="S825" s="10"/>
      <c r="T825" s="10"/>
      <c r="U825" s="13"/>
      <c r="V825" s="13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3"/>
      <c r="AL825" s="14"/>
      <c r="AM825" s="15"/>
      <c r="AN825" s="15"/>
      <c r="AO825" s="13"/>
      <c r="AP825" s="13"/>
      <c r="AQ825" s="16"/>
      <c r="AR825" s="10"/>
      <c r="AS825" s="10"/>
      <c r="AT825" s="10"/>
      <c r="AU825" s="10"/>
      <c r="AV825" s="11"/>
      <c r="AW825" s="11"/>
      <c r="AX825" s="10"/>
      <c r="AY825" s="11"/>
      <c r="AZ825" s="11"/>
      <c r="BA825" s="11"/>
      <c r="BB825" s="10"/>
      <c r="BC825" s="11"/>
      <c r="BD825" s="11"/>
      <c r="BE825" s="11"/>
      <c r="BF825" s="11"/>
      <c r="BG825" s="11"/>
      <c r="BH825" s="11"/>
      <c r="BI825" s="11"/>
      <c r="BJ825" s="11"/>
      <c r="BK825" s="11"/>
      <c r="BL825" s="11"/>
      <c r="BM825" s="11"/>
      <c r="BN825" s="11"/>
      <c r="BO825" s="11"/>
      <c r="BP825" s="11"/>
      <c r="BQ825" s="11"/>
      <c r="BR825" s="11"/>
      <c r="BS825" s="11"/>
      <c r="BT825" s="11"/>
      <c r="BU825" s="11"/>
      <c r="BV825" s="11"/>
      <c r="BW825" s="11"/>
      <c r="BX825" s="11"/>
      <c r="BY825" s="11"/>
      <c r="BZ825" s="11"/>
      <c r="CA825" s="11"/>
      <c r="CB825" s="11"/>
      <c r="CC825" s="17"/>
      <c r="CD825" s="17"/>
      <c r="CE825" s="11"/>
      <c r="CF825" s="13"/>
      <c r="CG825" s="13"/>
      <c r="CH825" s="13"/>
      <c r="CI825" s="13"/>
      <c r="CJ825" s="13"/>
    </row>
    <row r="826" spans="1:88" s="9" customFormat="1" x14ac:dyDescent="0.25">
      <c r="A826" s="10"/>
      <c r="B826" s="10"/>
      <c r="C826" s="10"/>
      <c r="D826" s="10"/>
      <c r="E826" s="11"/>
      <c r="F826" s="10"/>
      <c r="G826" s="10"/>
      <c r="H826" s="10"/>
      <c r="I826" s="10"/>
      <c r="J826" s="10"/>
      <c r="K826" s="12"/>
      <c r="L826" s="10"/>
      <c r="M826" s="10"/>
      <c r="N826" s="13"/>
      <c r="O826" s="10"/>
      <c r="P826" s="10"/>
      <c r="Q826" s="10"/>
      <c r="R826" s="18"/>
      <c r="S826" s="10"/>
      <c r="T826" s="10"/>
      <c r="U826" s="13"/>
      <c r="V826" s="13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3"/>
      <c r="AL826" s="14"/>
      <c r="AM826" s="15"/>
      <c r="AN826" s="15"/>
      <c r="AO826" s="13"/>
      <c r="AP826" s="13"/>
      <c r="AQ826" s="16"/>
      <c r="AR826" s="10"/>
      <c r="AS826" s="10"/>
      <c r="AT826" s="10"/>
      <c r="AU826" s="10"/>
      <c r="AV826" s="11"/>
      <c r="AW826" s="11"/>
      <c r="AX826" s="10"/>
      <c r="AY826" s="11"/>
      <c r="AZ826" s="11"/>
      <c r="BA826" s="11"/>
      <c r="BB826" s="10"/>
      <c r="BC826" s="11"/>
      <c r="BD826" s="11"/>
      <c r="BE826" s="11"/>
      <c r="BF826" s="11"/>
      <c r="BG826" s="11"/>
      <c r="BH826" s="11"/>
      <c r="BI826" s="11"/>
      <c r="BJ826" s="11"/>
      <c r="BK826" s="11"/>
      <c r="BL826" s="11"/>
      <c r="BM826" s="11"/>
      <c r="BN826" s="11"/>
      <c r="BO826" s="11"/>
      <c r="BP826" s="11"/>
      <c r="BQ826" s="11"/>
      <c r="BR826" s="11"/>
      <c r="BS826" s="11"/>
      <c r="BT826" s="11"/>
      <c r="BU826" s="11"/>
      <c r="BV826" s="11"/>
      <c r="BW826" s="11"/>
      <c r="BX826" s="11"/>
      <c r="BY826" s="11"/>
      <c r="BZ826" s="11"/>
      <c r="CA826" s="11"/>
      <c r="CB826" s="11"/>
      <c r="CC826" s="17"/>
      <c r="CD826" s="17"/>
      <c r="CE826" s="11"/>
      <c r="CF826" s="13"/>
      <c r="CG826" s="13"/>
      <c r="CH826" s="13"/>
      <c r="CI826" s="13"/>
      <c r="CJ826" s="13"/>
    </row>
    <row r="827" spans="1:88" s="9" customFormat="1" x14ac:dyDescent="0.25">
      <c r="A827" s="10"/>
      <c r="B827" s="10"/>
      <c r="C827" s="10"/>
      <c r="D827" s="10"/>
      <c r="E827" s="11"/>
      <c r="F827" s="10"/>
      <c r="G827" s="10"/>
      <c r="H827" s="10"/>
      <c r="I827" s="10"/>
      <c r="J827" s="10"/>
      <c r="K827" s="12"/>
      <c r="L827" s="10"/>
      <c r="M827" s="10"/>
      <c r="N827" s="13"/>
      <c r="O827" s="10"/>
      <c r="P827" s="10"/>
      <c r="Q827" s="10"/>
      <c r="R827" s="18"/>
      <c r="S827" s="10"/>
      <c r="T827" s="10"/>
      <c r="U827" s="13"/>
      <c r="V827" s="13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3"/>
      <c r="AL827" s="14"/>
      <c r="AM827" s="15"/>
      <c r="AN827" s="15"/>
      <c r="AO827" s="13"/>
      <c r="AP827" s="13"/>
      <c r="AQ827" s="16"/>
      <c r="AR827" s="10"/>
      <c r="AS827" s="10"/>
      <c r="AT827" s="10"/>
      <c r="AU827" s="10"/>
      <c r="AV827" s="11"/>
      <c r="AW827" s="11"/>
      <c r="AX827" s="10"/>
      <c r="AY827" s="11"/>
      <c r="AZ827" s="11"/>
      <c r="BA827" s="11"/>
      <c r="BB827" s="10"/>
      <c r="BC827" s="11"/>
      <c r="BD827" s="11"/>
      <c r="BE827" s="11"/>
      <c r="BF827" s="11"/>
      <c r="BG827" s="11"/>
      <c r="BH827" s="11"/>
      <c r="BI827" s="11"/>
      <c r="BJ827" s="11"/>
      <c r="BK827" s="11"/>
      <c r="BL827" s="11"/>
      <c r="BM827" s="11"/>
      <c r="BN827" s="11"/>
      <c r="BO827" s="11"/>
      <c r="BP827" s="11"/>
      <c r="BQ827" s="11"/>
      <c r="BR827" s="11"/>
      <c r="BS827" s="11"/>
      <c r="BT827" s="11"/>
      <c r="BU827" s="11"/>
      <c r="BV827" s="11"/>
      <c r="BW827" s="11"/>
      <c r="BX827" s="11"/>
      <c r="BY827" s="11"/>
      <c r="BZ827" s="11"/>
      <c r="CA827" s="11"/>
      <c r="CB827" s="11"/>
      <c r="CC827" s="17"/>
      <c r="CD827" s="17"/>
      <c r="CE827" s="11"/>
      <c r="CF827" s="13"/>
      <c r="CG827" s="13"/>
      <c r="CH827" s="13"/>
      <c r="CI827" s="13"/>
      <c r="CJ827" s="13"/>
    </row>
    <row r="828" spans="1:88" s="9" customFormat="1" x14ac:dyDescent="0.25">
      <c r="A828" s="10"/>
      <c r="B828" s="10"/>
      <c r="C828" s="10"/>
      <c r="D828" s="10"/>
      <c r="E828" s="11"/>
      <c r="F828" s="10"/>
      <c r="G828" s="10"/>
      <c r="H828" s="10"/>
      <c r="I828" s="10"/>
      <c r="J828" s="10"/>
      <c r="K828" s="12"/>
      <c r="L828" s="10"/>
      <c r="M828" s="10"/>
      <c r="N828" s="13"/>
      <c r="O828" s="10"/>
      <c r="P828" s="10"/>
      <c r="Q828" s="10"/>
      <c r="R828" s="18"/>
      <c r="S828" s="10"/>
      <c r="T828" s="10"/>
      <c r="U828" s="13"/>
      <c r="V828" s="13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3"/>
      <c r="AL828" s="14"/>
      <c r="AM828" s="15"/>
      <c r="AN828" s="15"/>
      <c r="AO828" s="13"/>
      <c r="AP828" s="13"/>
      <c r="AQ828" s="16"/>
      <c r="AR828" s="10"/>
      <c r="AS828" s="10"/>
      <c r="AT828" s="10"/>
      <c r="AU828" s="10"/>
      <c r="AV828" s="11"/>
      <c r="AW828" s="11"/>
      <c r="AX828" s="10"/>
      <c r="AY828" s="11"/>
      <c r="AZ828" s="11"/>
      <c r="BA828" s="11"/>
      <c r="BB828" s="10"/>
      <c r="BC828" s="11"/>
      <c r="BD828" s="11"/>
      <c r="BE828" s="11"/>
      <c r="BF828" s="11"/>
      <c r="BG828" s="11"/>
      <c r="BH828" s="11"/>
      <c r="BI828" s="11"/>
      <c r="BJ828" s="11"/>
      <c r="BK828" s="11"/>
      <c r="BL828" s="11"/>
      <c r="BM828" s="11"/>
      <c r="BN828" s="11"/>
      <c r="BO828" s="11"/>
      <c r="BP828" s="11"/>
      <c r="BQ828" s="11"/>
      <c r="BR828" s="11"/>
      <c r="BS828" s="11"/>
      <c r="BT828" s="11"/>
      <c r="BU828" s="11"/>
      <c r="BV828" s="11"/>
      <c r="BW828" s="11"/>
      <c r="BX828" s="11"/>
      <c r="BY828" s="11"/>
      <c r="BZ828" s="11"/>
      <c r="CA828" s="11"/>
      <c r="CB828" s="11"/>
      <c r="CC828" s="17"/>
      <c r="CD828" s="17"/>
      <c r="CE828" s="11"/>
      <c r="CF828" s="13"/>
      <c r="CG828" s="13"/>
      <c r="CH828" s="13"/>
      <c r="CI828" s="13"/>
      <c r="CJ828" s="13"/>
    </row>
    <row r="829" spans="1:88" s="9" customFormat="1" x14ac:dyDescent="0.25">
      <c r="A829" s="10"/>
      <c r="B829" s="10"/>
      <c r="C829" s="10"/>
      <c r="D829" s="10"/>
      <c r="E829" s="11"/>
      <c r="F829" s="10"/>
      <c r="G829" s="10"/>
      <c r="H829" s="10"/>
      <c r="I829" s="10"/>
      <c r="J829" s="10"/>
      <c r="K829" s="12"/>
      <c r="L829" s="10"/>
      <c r="M829" s="10"/>
      <c r="N829" s="13"/>
      <c r="O829" s="10"/>
      <c r="P829" s="10"/>
      <c r="Q829" s="10"/>
      <c r="R829" s="18"/>
      <c r="S829" s="10"/>
      <c r="T829" s="10"/>
      <c r="U829" s="13"/>
      <c r="V829" s="13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3"/>
      <c r="AL829" s="14"/>
      <c r="AM829" s="15"/>
      <c r="AN829" s="15"/>
      <c r="AO829" s="13"/>
      <c r="AP829" s="13"/>
      <c r="AQ829" s="16"/>
      <c r="AR829" s="10"/>
      <c r="AS829" s="10"/>
      <c r="AT829" s="10"/>
      <c r="AU829" s="10"/>
      <c r="AV829" s="11"/>
      <c r="AW829" s="11"/>
      <c r="AX829" s="10"/>
      <c r="AY829" s="11"/>
      <c r="AZ829" s="11"/>
      <c r="BA829" s="11"/>
      <c r="BB829" s="10"/>
      <c r="BC829" s="11"/>
      <c r="BD829" s="11"/>
      <c r="BE829" s="11"/>
      <c r="BF829" s="11"/>
      <c r="BG829" s="11"/>
      <c r="BH829" s="11"/>
      <c r="BI829" s="11"/>
      <c r="BJ829" s="11"/>
      <c r="BK829" s="11"/>
      <c r="BL829" s="11"/>
      <c r="BM829" s="11"/>
      <c r="BN829" s="11"/>
      <c r="BO829" s="11"/>
      <c r="BP829" s="11"/>
      <c r="BQ829" s="11"/>
      <c r="BR829" s="11"/>
      <c r="BS829" s="11"/>
      <c r="BT829" s="11"/>
      <c r="BU829" s="11"/>
      <c r="BV829" s="11"/>
      <c r="BW829" s="11"/>
      <c r="BX829" s="11"/>
      <c r="BY829" s="11"/>
      <c r="BZ829" s="11"/>
      <c r="CA829" s="11"/>
      <c r="CB829" s="11"/>
      <c r="CC829" s="17"/>
      <c r="CD829" s="17"/>
      <c r="CE829" s="11"/>
      <c r="CF829" s="13"/>
      <c r="CG829" s="13"/>
      <c r="CH829" s="13"/>
      <c r="CI829" s="13"/>
      <c r="CJ829" s="13"/>
    </row>
    <row r="830" spans="1:88" s="9" customFormat="1" x14ac:dyDescent="0.25">
      <c r="A830" s="10"/>
      <c r="B830" s="10"/>
      <c r="C830" s="10"/>
      <c r="D830" s="10"/>
      <c r="E830" s="11"/>
      <c r="F830" s="10"/>
      <c r="G830" s="10"/>
      <c r="H830" s="10"/>
      <c r="I830" s="10"/>
      <c r="J830" s="10"/>
      <c r="K830" s="12"/>
      <c r="L830" s="10"/>
      <c r="M830" s="10"/>
      <c r="N830" s="13"/>
      <c r="O830" s="10"/>
      <c r="P830" s="10"/>
      <c r="Q830" s="10"/>
      <c r="R830" s="18"/>
      <c r="S830" s="10"/>
      <c r="T830" s="10"/>
      <c r="U830" s="13"/>
      <c r="V830" s="13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3"/>
      <c r="AL830" s="14"/>
      <c r="AM830" s="15"/>
      <c r="AN830" s="15"/>
      <c r="AO830" s="13"/>
      <c r="AP830" s="13"/>
      <c r="AQ830" s="16"/>
      <c r="AR830" s="10"/>
      <c r="AS830" s="10"/>
      <c r="AT830" s="10"/>
      <c r="AU830" s="10"/>
      <c r="AV830" s="11"/>
      <c r="AW830" s="11"/>
      <c r="AX830" s="10"/>
      <c r="AY830" s="11"/>
      <c r="AZ830" s="11"/>
      <c r="BA830" s="11"/>
      <c r="BB830" s="10"/>
      <c r="BC830" s="11"/>
      <c r="BD830" s="11"/>
      <c r="BE830" s="11"/>
      <c r="BF830" s="11"/>
      <c r="BG830" s="11"/>
      <c r="BH830" s="11"/>
      <c r="BI830" s="11"/>
      <c r="BJ830" s="11"/>
      <c r="BK830" s="11"/>
      <c r="BL830" s="11"/>
      <c r="BM830" s="11"/>
      <c r="BN830" s="11"/>
      <c r="BO830" s="11"/>
      <c r="BP830" s="11"/>
      <c r="BQ830" s="11"/>
      <c r="BR830" s="11"/>
      <c r="BS830" s="11"/>
      <c r="BT830" s="11"/>
      <c r="BU830" s="11"/>
      <c r="BV830" s="11"/>
      <c r="BW830" s="11"/>
      <c r="BX830" s="11"/>
      <c r="BY830" s="11"/>
      <c r="BZ830" s="11"/>
      <c r="CA830" s="11"/>
      <c r="CB830" s="11"/>
      <c r="CC830" s="17"/>
      <c r="CD830" s="17"/>
      <c r="CE830" s="11"/>
      <c r="CF830" s="13"/>
      <c r="CG830" s="13"/>
      <c r="CH830" s="13"/>
      <c r="CI830" s="13"/>
      <c r="CJ830" s="13"/>
    </row>
    <row r="831" spans="1:88" s="9" customFormat="1" x14ac:dyDescent="0.25">
      <c r="A831" s="10"/>
      <c r="B831" s="10"/>
      <c r="C831" s="10"/>
      <c r="D831" s="10"/>
      <c r="E831" s="11"/>
      <c r="F831" s="10"/>
      <c r="G831" s="10"/>
      <c r="H831" s="10"/>
      <c r="I831" s="10"/>
      <c r="J831" s="10"/>
      <c r="K831" s="12"/>
      <c r="L831" s="10"/>
      <c r="M831" s="10"/>
      <c r="N831" s="13"/>
      <c r="O831" s="10"/>
      <c r="P831" s="10"/>
      <c r="Q831" s="10"/>
      <c r="R831" s="18"/>
      <c r="S831" s="10"/>
      <c r="T831" s="10"/>
      <c r="U831" s="13"/>
      <c r="V831" s="13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3"/>
      <c r="AL831" s="14"/>
      <c r="AM831" s="15"/>
      <c r="AN831" s="15"/>
      <c r="AO831" s="13"/>
      <c r="AP831" s="13"/>
      <c r="AQ831" s="16"/>
      <c r="AR831" s="10"/>
      <c r="AS831" s="10"/>
      <c r="AT831" s="10"/>
      <c r="AU831" s="10"/>
      <c r="AV831" s="11"/>
      <c r="AW831" s="11"/>
      <c r="AX831" s="10"/>
      <c r="AY831" s="11"/>
      <c r="AZ831" s="11"/>
      <c r="BA831" s="11"/>
      <c r="BB831" s="10"/>
      <c r="BC831" s="11"/>
      <c r="BD831" s="11"/>
      <c r="BE831" s="11"/>
      <c r="BF831" s="11"/>
      <c r="BG831" s="11"/>
      <c r="BH831" s="11"/>
      <c r="BI831" s="11"/>
      <c r="BJ831" s="11"/>
      <c r="BK831" s="11"/>
      <c r="BL831" s="11"/>
      <c r="BM831" s="11"/>
      <c r="BN831" s="11"/>
      <c r="BO831" s="11"/>
      <c r="BP831" s="11"/>
      <c r="BQ831" s="11"/>
      <c r="BR831" s="11"/>
      <c r="BS831" s="11"/>
      <c r="BT831" s="11"/>
      <c r="BU831" s="11"/>
      <c r="BV831" s="11"/>
      <c r="BW831" s="11"/>
      <c r="BX831" s="11"/>
      <c r="BY831" s="11"/>
      <c r="BZ831" s="11"/>
      <c r="CA831" s="11"/>
      <c r="CB831" s="11"/>
      <c r="CC831" s="17"/>
      <c r="CD831" s="17"/>
      <c r="CE831" s="11"/>
      <c r="CF831" s="13"/>
      <c r="CG831" s="13"/>
      <c r="CH831" s="13"/>
      <c r="CI831" s="13"/>
      <c r="CJ831" s="13"/>
    </row>
    <row r="832" spans="1:88" s="9" customFormat="1" x14ac:dyDescent="0.25">
      <c r="A832" s="10"/>
      <c r="B832" s="10"/>
      <c r="C832" s="10"/>
      <c r="D832" s="10"/>
      <c r="E832" s="11"/>
      <c r="F832" s="10"/>
      <c r="G832" s="10"/>
      <c r="H832" s="10"/>
      <c r="I832" s="10"/>
      <c r="J832" s="10"/>
      <c r="K832" s="12"/>
      <c r="L832" s="10"/>
      <c r="M832" s="10"/>
      <c r="N832" s="13"/>
      <c r="O832" s="10"/>
      <c r="P832" s="10"/>
      <c r="Q832" s="10"/>
      <c r="R832" s="18"/>
      <c r="S832" s="10"/>
      <c r="T832" s="10"/>
      <c r="U832" s="13"/>
      <c r="V832" s="13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3"/>
      <c r="AL832" s="14"/>
      <c r="AM832" s="15"/>
      <c r="AN832" s="15"/>
      <c r="AO832" s="13"/>
      <c r="AP832" s="13"/>
      <c r="AQ832" s="16"/>
      <c r="AR832" s="10"/>
      <c r="AS832" s="10"/>
      <c r="AT832" s="10"/>
      <c r="AU832" s="10"/>
      <c r="AV832" s="11"/>
      <c r="AW832" s="11"/>
      <c r="AX832" s="10"/>
      <c r="AY832" s="11"/>
      <c r="AZ832" s="11"/>
      <c r="BA832" s="11"/>
      <c r="BB832" s="10"/>
      <c r="BC832" s="11"/>
      <c r="BD832" s="11"/>
      <c r="BE832" s="11"/>
      <c r="BF832" s="11"/>
      <c r="BG832" s="11"/>
      <c r="BH832" s="11"/>
      <c r="BI832" s="11"/>
      <c r="BJ832" s="11"/>
      <c r="BK832" s="11"/>
      <c r="BL832" s="11"/>
      <c r="BM832" s="11"/>
      <c r="BN832" s="11"/>
      <c r="BO832" s="11"/>
      <c r="BP832" s="11"/>
      <c r="BQ832" s="11"/>
      <c r="BR832" s="11"/>
      <c r="BS832" s="11"/>
      <c r="BT832" s="11"/>
      <c r="BU832" s="11"/>
      <c r="BV832" s="11"/>
      <c r="BW832" s="11"/>
      <c r="BX832" s="11"/>
      <c r="BY832" s="11"/>
      <c r="BZ832" s="11"/>
      <c r="CA832" s="11"/>
      <c r="CB832" s="11"/>
      <c r="CC832" s="17"/>
      <c r="CD832" s="17"/>
      <c r="CE832" s="11"/>
      <c r="CF832" s="13"/>
      <c r="CG832" s="13"/>
      <c r="CH832" s="13"/>
      <c r="CI832" s="13"/>
      <c r="CJ832" s="13"/>
    </row>
    <row r="833" spans="1:88" s="9" customFormat="1" x14ac:dyDescent="0.25">
      <c r="A833" s="10"/>
      <c r="B833" s="10"/>
      <c r="C833" s="10"/>
      <c r="D833" s="10"/>
      <c r="E833" s="11"/>
      <c r="F833" s="10"/>
      <c r="G833" s="10"/>
      <c r="H833" s="10"/>
      <c r="I833" s="10"/>
      <c r="J833" s="10"/>
      <c r="K833" s="12"/>
      <c r="L833" s="10"/>
      <c r="M833" s="10"/>
      <c r="N833" s="13"/>
      <c r="O833" s="10"/>
      <c r="P833" s="10"/>
      <c r="Q833" s="10"/>
      <c r="R833" s="18"/>
      <c r="S833" s="10"/>
      <c r="T833" s="10"/>
      <c r="U833" s="13"/>
      <c r="V833" s="13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3"/>
      <c r="AL833" s="14"/>
      <c r="AM833" s="15"/>
      <c r="AN833" s="15"/>
      <c r="AO833" s="13"/>
      <c r="AP833" s="13"/>
      <c r="AQ833" s="16"/>
      <c r="AR833" s="10"/>
      <c r="AS833" s="10"/>
      <c r="AT833" s="10"/>
      <c r="AU833" s="10"/>
      <c r="AV833" s="11"/>
      <c r="AW833" s="11"/>
      <c r="AX833" s="10"/>
      <c r="AY833" s="11"/>
      <c r="AZ833" s="11"/>
      <c r="BA833" s="11"/>
      <c r="BB833" s="10"/>
      <c r="BC833" s="11"/>
      <c r="BD833" s="11"/>
      <c r="BE833" s="11"/>
      <c r="BF833" s="11"/>
      <c r="BG833" s="11"/>
      <c r="BH833" s="11"/>
      <c r="BI833" s="11"/>
      <c r="BJ833" s="11"/>
      <c r="BK833" s="11"/>
      <c r="BL833" s="11"/>
      <c r="BM833" s="11"/>
      <c r="BN833" s="11"/>
      <c r="BO833" s="11"/>
      <c r="BP833" s="11"/>
      <c r="BQ833" s="11"/>
      <c r="BR833" s="11"/>
      <c r="BS833" s="11"/>
      <c r="BT833" s="11"/>
      <c r="BU833" s="11"/>
      <c r="BV833" s="11"/>
      <c r="BW833" s="11"/>
      <c r="BX833" s="11"/>
      <c r="BY833" s="11"/>
      <c r="BZ833" s="11"/>
      <c r="CA833" s="11"/>
      <c r="CB833" s="11"/>
      <c r="CC833" s="17"/>
      <c r="CD833" s="17"/>
      <c r="CE833" s="11"/>
      <c r="CF833" s="13"/>
      <c r="CG833" s="13"/>
      <c r="CH833" s="13"/>
      <c r="CI833" s="13"/>
      <c r="CJ833" s="13"/>
    </row>
    <row r="834" spans="1:88" s="9" customFormat="1" x14ac:dyDescent="0.25">
      <c r="A834" s="10"/>
      <c r="B834" s="10"/>
      <c r="C834" s="10"/>
      <c r="D834" s="10"/>
      <c r="E834" s="11"/>
      <c r="F834" s="10"/>
      <c r="G834" s="10"/>
      <c r="H834" s="10"/>
      <c r="I834" s="10"/>
      <c r="J834" s="10"/>
      <c r="K834" s="12"/>
      <c r="L834" s="10"/>
      <c r="M834" s="10"/>
      <c r="N834" s="13"/>
      <c r="O834" s="10"/>
      <c r="P834" s="10"/>
      <c r="Q834" s="10"/>
      <c r="R834" s="18"/>
      <c r="S834" s="10"/>
      <c r="T834" s="10"/>
      <c r="U834" s="13"/>
      <c r="V834" s="13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3"/>
      <c r="AL834" s="14"/>
      <c r="AM834" s="15"/>
      <c r="AN834" s="15"/>
      <c r="AO834" s="13"/>
      <c r="AP834" s="13"/>
      <c r="AQ834" s="16"/>
      <c r="AR834" s="10"/>
      <c r="AS834" s="10"/>
      <c r="AT834" s="10"/>
      <c r="AU834" s="10"/>
      <c r="AV834" s="11"/>
      <c r="AW834" s="11"/>
      <c r="AX834" s="10"/>
      <c r="AY834" s="11"/>
      <c r="AZ834" s="11"/>
      <c r="BA834" s="11"/>
      <c r="BB834" s="10"/>
      <c r="BC834" s="11"/>
      <c r="BD834" s="11"/>
      <c r="BE834" s="11"/>
      <c r="BF834" s="11"/>
      <c r="BG834" s="11"/>
      <c r="BH834" s="11"/>
      <c r="BI834" s="11"/>
      <c r="BJ834" s="11"/>
      <c r="BK834" s="11"/>
      <c r="BL834" s="11"/>
      <c r="BM834" s="11"/>
      <c r="BN834" s="11"/>
      <c r="BO834" s="11"/>
      <c r="BP834" s="11"/>
      <c r="BQ834" s="11"/>
      <c r="BR834" s="11"/>
      <c r="BS834" s="11"/>
      <c r="BT834" s="11"/>
      <c r="BU834" s="11"/>
      <c r="BV834" s="11"/>
      <c r="BW834" s="11"/>
      <c r="BX834" s="11"/>
      <c r="BY834" s="11"/>
      <c r="BZ834" s="11"/>
      <c r="CA834" s="11"/>
      <c r="CB834" s="11"/>
      <c r="CC834" s="17"/>
      <c r="CD834" s="17"/>
      <c r="CE834" s="11"/>
      <c r="CF834" s="13"/>
      <c r="CG834" s="13"/>
      <c r="CH834" s="13"/>
      <c r="CI834" s="13"/>
      <c r="CJ834" s="13"/>
    </row>
    <row r="835" spans="1:88" s="9" customFormat="1" x14ac:dyDescent="0.25">
      <c r="A835" s="10"/>
      <c r="B835" s="10"/>
      <c r="C835" s="10"/>
      <c r="D835" s="10"/>
      <c r="E835" s="11"/>
      <c r="F835" s="10"/>
      <c r="G835" s="10"/>
      <c r="H835" s="10"/>
      <c r="I835" s="10"/>
      <c r="J835" s="10"/>
      <c r="K835" s="12"/>
      <c r="L835" s="10"/>
      <c r="M835" s="10"/>
      <c r="N835" s="13"/>
      <c r="O835" s="10"/>
      <c r="P835" s="10"/>
      <c r="Q835" s="10"/>
      <c r="R835" s="18"/>
      <c r="S835" s="10"/>
      <c r="T835" s="10"/>
      <c r="U835" s="13"/>
      <c r="V835" s="13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3"/>
      <c r="AL835" s="14"/>
      <c r="AM835" s="15"/>
      <c r="AN835" s="15"/>
      <c r="AO835" s="13"/>
      <c r="AP835" s="13"/>
      <c r="AQ835" s="16"/>
      <c r="AR835" s="10"/>
      <c r="AS835" s="10"/>
      <c r="AT835" s="10"/>
      <c r="AU835" s="10"/>
      <c r="AV835" s="11"/>
      <c r="AW835" s="11"/>
      <c r="AX835" s="10"/>
      <c r="AY835" s="11"/>
      <c r="AZ835" s="11"/>
      <c r="BA835" s="11"/>
      <c r="BB835" s="10"/>
      <c r="BC835" s="11"/>
      <c r="BD835" s="11"/>
      <c r="BE835" s="11"/>
      <c r="BF835" s="11"/>
      <c r="BG835" s="11"/>
      <c r="BH835" s="11"/>
      <c r="BI835" s="11"/>
      <c r="BJ835" s="11"/>
      <c r="BK835" s="11"/>
      <c r="BL835" s="11"/>
      <c r="BM835" s="11"/>
      <c r="BN835" s="11"/>
      <c r="BO835" s="11"/>
      <c r="BP835" s="11"/>
      <c r="BQ835" s="11"/>
      <c r="BR835" s="11"/>
      <c r="BS835" s="11"/>
      <c r="BT835" s="11"/>
      <c r="BU835" s="11"/>
      <c r="BV835" s="11"/>
      <c r="BW835" s="11"/>
      <c r="BX835" s="11"/>
      <c r="BY835" s="11"/>
      <c r="BZ835" s="11"/>
      <c r="CA835" s="11"/>
      <c r="CB835" s="11"/>
      <c r="CC835" s="17"/>
      <c r="CD835" s="17"/>
      <c r="CE835" s="11"/>
      <c r="CF835" s="13"/>
      <c r="CG835" s="13"/>
      <c r="CH835" s="13"/>
      <c r="CI835" s="13"/>
      <c r="CJ835" s="13"/>
    </row>
    <row r="836" spans="1:88" s="9" customFormat="1" x14ac:dyDescent="0.25">
      <c r="A836" s="10"/>
      <c r="B836" s="10"/>
      <c r="C836" s="10"/>
      <c r="D836" s="10"/>
      <c r="E836" s="11"/>
      <c r="F836" s="10"/>
      <c r="G836" s="10"/>
      <c r="H836" s="10"/>
      <c r="I836" s="10"/>
      <c r="J836" s="10"/>
      <c r="K836" s="12"/>
      <c r="L836" s="10"/>
      <c r="M836" s="10"/>
      <c r="N836" s="13"/>
      <c r="O836" s="10"/>
      <c r="P836" s="10"/>
      <c r="Q836" s="10"/>
      <c r="R836" s="18"/>
      <c r="S836" s="10"/>
      <c r="T836" s="10"/>
      <c r="U836" s="13"/>
      <c r="V836" s="13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3"/>
      <c r="AL836" s="14"/>
      <c r="AM836" s="15"/>
      <c r="AN836" s="15"/>
      <c r="AO836" s="13"/>
      <c r="AP836" s="13"/>
      <c r="AQ836" s="16"/>
      <c r="AR836" s="10"/>
      <c r="AS836" s="10"/>
      <c r="AT836" s="10"/>
      <c r="AU836" s="10"/>
      <c r="AV836" s="11"/>
      <c r="AW836" s="11"/>
      <c r="AX836" s="10"/>
      <c r="AY836" s="11"/>
      <c r="AZ836" s="11"/>
      <c r="BA836" s="11"/>
      <c r="BB836" s="10"/>
      <c r="BC836" s="11"/>
      <c r="BD836" s="11"/>
      <c r="BE836" s="11"/>
      <c r="BF836" s="11"/>
      <c r="BG836" s="11"/>
      <c r="BH836" s="11"/>
      <c r="BI836" s="11"/>
      <c r="BJ836" s="11"/>
      <c r="BK836" s="11"/>
      <c r="BL836" s="11"/>
      <c r="BM836" s="11"/>
      <c r="BN836" s="11"/>
      <c r="BO836" s="11"/>
      <c r="BP836" s="11"/>
      <c r="BQ836" s="11"/>
      <c r="BR836" s="11"/>
      <c r="BS836" s="11"/>
      <c r="BT836" s="11"/>
      <c r="BU836" s="11"/>
      <c r="BV836" s="11"/>
      <c r="BW836" s="11"/>
      <c r="BX836" s="11"/>
      <c r="BY836" s="11"/>
      <c r="BZ836" s="11"/>
      <c r="CA836" s="11"/>
      <c r="CB836" s="11"/>
      <c r="CC836" s="17"/>
      <c r="CD836" s="17"/>
      <c r="CE836" s="11"/>
      <c r="CF836" s="13"/>
      <c r="CG836" s="13"/>
      <c r="CH836" s="13"/>
      <c r="CI836" s="13"/>
      <c r="CJ836" s="13"/>
    </row>
    <row r="837" spans="1:88" s="9" customFormat="1" x14ac:dyDescent="0.25">
      <c r="A837" s="10"/>
      <c r="B837" s="10"/>
      <c r="C837" s="10"/>
      <c r="D837" s="10"/>
      <c r="E837" s="11"/>
      <c r="F837" s="10"/>
      <c r="G837" s="10"/>
      <c r="H837" s="10"/>
      <c r="I837" s="10"/>
      <c r="J837" s="10"/>
      <c r="K837" s="12"/>
      <c r="L837" s="10"/>
      <c r="M837" s="10"/>
      <c r="N837" s="13"/>
      <c r="O837" s="10"/>
      <c r="P837" s="10"/>
      <c r="Q837" s="10"/>
      <c r="R837" s="18"/>
      <c r="S837" s="10"/>
      <c r="T837" s="10"/>
      <c r="U837" s="13"/>
      <c r="V837" s="13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3"/>
      <c r="AL837" s="14"/>
      <c r="AM837" s="15"/>
      <c r="AN837" s="15"/>
      <c r="AO837" s="13"/>
      <c r="AP837" s="13"/>
      <c r="AQ837" s="16"/>
      <c r="AR837" s="10"/>
      <c r="AS837" s="10"/>
      <c r="AT837" s="10"/>
      <c r="AU837" s="10"/>
      <c r="AV837" s="11"/>
      <c r="AW837" s="11"/>
      <c r="AX837" s="10"/>
      <c r="AY837" s="11"/>
      <c r="AZ837" s="11"/>
      <c r="BA837" s="11"/>
      <c r="BB837" s="10"/>
      <c r="BC837" s="11"/>
      <c r="BD837" s="11"/>
      <c r="BE837" s="11"/>
      <c r="BF837" s="11"/>
      <c r="BG837" s="11"/>
      <c r="BH837" s="11"/>
      <c r="BI837" s="11"/>
      <c r="BJ837" s="11"/>
      <c r="BK837" s="11"/>
      <c r="BL837" s="11"/>
      <c r="BM837" s="11"/>
      <c r="BN837" s="11"/>
      <c r="BO837" s="11"/>
      <c r="BP837" s="11"/>
      <c r="BQ837" s="11"/>
      <c r="BR837" s="11"/>
      <c r="BS837" s="11"/>
      <c r="BT837" s="11"/>
      <c r="BU837" s="11"/>
      <c r="BV837" s="11"/>
      <c r="BW837" s="11"/>
      <c r="BX837" s="11"/>
      <c r="BY837" s="11"/>
      <c r="BZ837" s="11"/>
      <c r="CA837" s="11"/>
      <c r="CB837" s="11"/>
      <c r="CC837" s="17"/>
      <c r="CD837" s="17"/>
      <c r="CE837" s="11"/>
      <c r="CF837" s="13"/>
      <c r="CG837" s="13"/>
      <c r="CH837" s="13"/>
      <c r="CI837" s="13"/>
      <c r="CJ837" s="13"/>
    </row>
    <row r="838" spans="1:88" s="9" customFormat="1" x14ac:dyDescent="0.25">
      <c r="A838" s="10"/>
      <c r="B838" s="10"/>
      <c r="C838" s="10"/>
      <c r="D838" s="10"/>
      <c r="E838" s="11"/>
      <c r="F838" s="10"/>
      <c r="G838" s="10"/>
      <c r="H838" s="10"/>
      <c r="I838" s="10"/>
      <c r="J838" s="10"/>
      <c r="K838" s="12"/>
      <c r="L838" s="10"/>
      <c r="M838" s="10"/>
      <c r="N838" s="13"/>
      <c r="O838" s="10"/>
      <c r="P838" s="10"/>
      <c r="Q838" s="10"/>
      <c r="R838" s="18"/>
      <c r="S838" s="10"/>
      <c r="T838" s="10"/>
      <c r="U838" s="13"/>
      <c r="V838" s="13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3"/>
      <c r="AL838" s="14"/>
      <c r="AM838" s="15"/>
      <c r="AN838" s="15"/>
      <c r="AO838" s="13"/>
      <c r="AP838" s="13"/>
      <c r="AQ838" s="16"/>
      <c r="AR838" s="10"/>
      <c r="AS838" s="10"/>
      <c r="AT838" s="10"/>
      <c r="AU838" s="10"/>
      <c r="AV838" s="11"/>
      <c r="AW838" s="11"/>
      <c r="AX838" s="10"/>
      <c r="AY838" s="11"/>
      <c r="AZ838" s="11"/>
      <c r="BA838" s="11"/>
      <c r="BB838" s="10"/>
      <c r="BC838" s="11"/>
      <c r="BD838" s="11"/>
      <c r="BE838" s="11"/>
      <c r="BF838" s="11"/>
      <c r="BG838" s="11"/>
      <c r="BH838" s="11"/>
      <c r="BI838" s="11"/>
      <c r="BJ838" s="11"/>
      <c r="BK838" s="11"/>
      <c r="BL838" s="11"/>
      <c r="BM838" s="11"/>
      <c r="BN838" s="11"/>
      <c r="BO838" s="11"/>
      <c r="BP838" s="11"/>
      <c r="BQ838" s="11"/>
      <c r="BR838" s="11"/>
      <c r="BS838" s="11"/>
      <c r="BT838" s="11"/>
      <c r="BU838" s="11"/>
      <c r="BV838" s="11"/>
      <c r="BW838" s="11"/>
      <c r="BX838" s="11"/>
      <c r="BY838" s="11"/>
      <c r="BZ838" s="11"/>
      <c r="CA838" s="11"/>
      <c r="CB838" s="11"/>
      <c r="CC838" s="17"/>
      <c r="CD838" s="17"/>
      <c r="CE838" s="11"/>
      <c r="CF838" s="13"/>
      <c r="CG838" s="13"/>
      <c r="CH838" s="13"/>
      <c r="CI838" s="13"/>
      <c r="CJ838" s="13"/>
    </row>
    <row r="839" spans="1:88" s="9" customFormat="1" x14ac:dyDescent="0.25">
      <c r="A839" s="10"/>
      <c r="B839" s="10"/>
      <c r="C839" s="10"/>
      <c r="D839" s="10"/>
      <c r="E839" s="11"/>
      <c r="F839" s="10"/>
      <c r="G839" s="10"/>
      <c r="H839" s="10"/>
      <c r="I839" s="10"/>
      <c r="J839" s="10"/>
      <c r="K839" s="12"/>
      <c r="L839" s="10"/>
      <c r="M839" s="10"/>
      <c r="N839" s="13"/>
      <c r="O839" s="10"/>
      <c r="P839" s="10"/>
      <c r="Q839" s="10"/>
      <c r="R839" s="18"/>
      <c r="S839" s="10"/>
      <c r="T839" s="10"/>
      <c r="U839" s="13"/>
      <c r="V839" s="13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3"/>
      <c r="AL839" s="14"/>
      <c r="AM839" s="15"/>
      <c r="AN839" s="15"/>
      <c r="AO839" s="13"/>
      <c r="AP839" s="13"/>
      <c r="AQ839" s="16"/>
      <c r="AR839" s="10"/>
      <c r="AS839" s="10"/>
      <c r="AT839" s="10"/>
      <c r="AU839" s="10"/>
      <c r="AV839" s="11"/>
      <c r="AW839" s="11"/>
      <c r="AX839" s="10"/>
      <c r="AY839" s="11"/>
      <c r="AZ839" s="11"/>
      <c r="BA839" s="11"/>
      <c r="BB839" s="10"/>
      <c r="BC839" s="11"/>
      <c r="BD839" s="11"/>
      <c r="BE839" s="11"/>
      <c r="BF839" s="11"/>
      <c r="BG839" s="11"/>
      <c r="BH839" s="11"/>
      <c r="BI839" s="11"/>
      <c r="BJ839" s="11"/>
      <c r="BK839" s="11"/>
      <c r="BL839" s="11"/>
      <c r="BM839" s="11"/>
      <c r="BN839" s="11"/>
      <c r="BO839" s="11"/>
      <c r="BP839" s="11"/>
      <c r="BQ839" s="11"/>
      <c r="BR839" s="11"/>
      <c r="BS839" s="11"/>
      <c r="BT839" s="11"/>
      <c r="BU839" s="11"/>
      <c r="BV839" s="11"/>
      <c r="BW839" s="11"/>
      <c r="BX839" s="11"/>
      <c r="BY839" s="11"/>
      <c r="BZ839" s="11"/>
      <c r="CA839" s="11"/>
      <c r="CB839" s="11"/>
      <c r="CC839" s="17"/>
      <c r="CD839" s="17"/>
      <c r="CE839" s="11"/>
      <c r="CF839" s="13"/>
      <c r="CG839" s="13"/>
      <c r="CH839" s="13"/>
      <c r="CI839" s="13"/>
      <c r="CJ839" s="13"/>
    </row>
    <row r="840" spans="1:88" s="9" customFormat="1" x14ac:dyDescent="0.25">
      <c r="A840" s="10"/>
      <c r="B840" s="10"/>
      <c r="C840" s="10"/>
      <c r="D840" s="10"/>
      <c r="E840" s="11"/>
      <c r="F840" s="10"/>
      <c r="G840" s="10"/>
      <c r="H840" s="10"/>
      <c r="I840" s="10"/>
      <c r="J840" s="10"/>
      <c r="K840" s="12"/>
      <c r="L840" s="10"/>
      <c r="M840" s="10"/>
      <c r="N840" s="13"/>
      <c r="O840" s="10"/>
      <c r="P840" s="10"/>
      <c r="Q840" s="10"/>
      <c r="R840" s="18"/>
      <c r="S840" s="10"/>
      <c r="T840" s="10"/>
      <c r="U840" s="13"/>
      <c r="V840" s="13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3"/>
      <c r="AL840" s="14"/>
      <c r="AM840" s="15"/>
      <c r="AN840" s="15"/>
      <c r="AO840" s="13"/>
      <c r="AP840" s="13"/>
      <c r="AQ840" s="16"/>
      <c r="AR840" s="10"/>
      <c r="AS840" s="10"/>
      <c r="AT840" s="10"/>
      <c r="AU840" s="10"/>
      <c r="AV840" s="11"/>
      <c r="AW840" s="11"/>
      <c r="AX840" s="10"/>
      <c r="AY840" s="11"/>
      <c r="AZ840" s="11"/>
      <c r="BA840" s="11"/>
      <c r="BB840" s="10"/>
      <c r="BC840" s="11"/>
      <c r="BD840" s="11"/>
      <c r="BE840" s="11"/>
      <c r="BF840" s="11"/>
      <c r="BG840" s="11"/>
      <c r="BH840" s="11"/>
      <c r="BI840" s="11"/>
      <c r="BJ840" s="11"/>
      <c r="BK840" s="11"/>
      <c r="BL840" s="11"/>
      <c r="BM840" s="11"/>
      <c r="BN840" s="11"/>
      <c r="BO840" s="11"/>
      <c r="BP840" s="11"/>
      <c r="BQ840" s="11"/>
      <c r="BR840" s="11"/>
      <c r="BS840" s="11"/>
      <c r="BT840" s="11"/>
      <c r="BU840" s="11"/>
      <c r="BV840" s="11"/>
      <c r="BW840" s="11"/>
      <c r="BX840" s="11"/>
      <c r="BY840" s="11"/>
      <c r="BZ840" s="11"/>
      <c r="CA840" s="11"/>
      <c r="CB840" s="11"/>
      <c r="CC840" s="17"/>
      <c r="CD840" s="17"/>
      <c r="CE840" s="11"/>
      <c r="CF840" s="13"/>
      <c r="CG840" s="13"/>
      <c r="CH840" s="13"/>
      <c r="CI840" s="13"/>
      <c r="CJ840" s="13"/>
    </row>
    <row r="841" spans="1:88" s="9" customFormat="1" x14ac:dyDescent="0.25">
      <c r="A841" s="10"/>
      <c r="B841" s="10"/>
      <c r="C841" s="10"/>
      <c r="D841" s="10"/>
      <c r="E841" s="11"/>
      <c r="F841" s="10"/>
      <c r="G841" s="10"/>
      <c r="H841" s="10"/>
      <c r="I841" s="10"/>
      <c r="J841" s="10"/>
      <c r="K841" s="12"/>
      <c r="L841" s="10"/>
      <c r="M841" s="10"/>
      <c r="N841" s="13"/>
      <c r="O841" s="10"/>
      <c r="P841" s="10"/>
      <c r="Q841" s="10"/>
      <c r="R841" s="18"/>
      <c r="S841" s="10"/>
      <c r="T841" s="10"/>
      <c r="U841" s="13"/>
      <c r="V841" s="13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3"/>
      <c r="AL841" s="14"/>
      <c r="AM841" s="15"/>
      <c r="AN841" s="15"/>
      <c r="AO841" s="13"/>
      <c r="AP841" s="13"/>
      <c r="AQ841" s="16"/>
      <c r="AR841" s="10"/>
      <c r="AS841" s="10"/>
      <c r="AT841" s="10"/>
      <c r="AU841" s="10"/>
      <c r="AV841" s="11"/>
      <c r="AW841" s="11"/>
      <c r="AX841" s="10"/>
      <c r="AY841" s="11"/>
      <c r="AZ841" s="11"/>
      <c r="BA841" s="11"/>
      <c r="BB841" s="10"/>
      <c r="BC841" s="11"/>
      <c r="BD841" s="11"/>
      <c r="BE841" s="11"/>
      <c r="BF841" s="11"/>
      <c r="BG841" s="11"/>
      <c r="BH841" s="11"/>
      <c r="BI841" s="11"/>
      <c r="BJ841" s="11"/>
      <c r="BK841" s="11"/>
      <c r="BL841" s="11"/>
      <c r="BM841" s="11"/>
      <c r="BN841" s="11"/>
      <c r="BO841" s="11"/>
      <c r="BP841" s="11"/>
      <c r="BQ841" s="11"/>
      <c r="BR841" s="11"/>
      <c r="BS841" s="11"/>
      <c r="BT841" s="11"/>
      <c r="BU841" s="11"/>
      <c r="BV841" s="11"/>
      <c r="BW841" s="11"/>
      <c r="BX841" s="11"/>
      <c r="BY841" s="11"/>
      <c r="BZ841" s="11"/>
      <c r="CA841" s="11"/>
      <c r="CB841" s="11"/>
      <c r="CC841" s="17"/>
      <c r="CD841" s="17"/>
      <c r="CE841" s="11"/>
      <c r="CF841" s="13"/>
      <c r="CG841" s="13"/>
      <c r="CH841" s="13"/>
      <c r="CI841" s="13"/>
      <c r="CJ841" s="13"/>
    </row>
    <row r="842" spans="1:88" s="9" customFormat="1" x14ac:dyDescent="0.25">
      <c r="A842" s="10"/>
      <c r="B842" s="10"/>
      <c r="C842" s="10"/>
      <c r="D842" s="10"/>
      <c r="E842" s="11"/>
      <c r="F842" s="10"/>
      <c r="G842" s="10"/>
      <c r="H842" s="10"/>
      <c r="I842" s="10"/>
      <c r="J842" s="10"/>
      <c r="K842" s="12"/>
      <c r="L842" s="10"/>
      <c r="M842" s="10"/>
      <c r="N842" s="13"/>
      <c r="O842" s="10"/>
      <c r="P842" s="10"/>
      <c r="Q842" s="10"/>
      <c r="R842" s="18"/>
      <c r="S842" s="10"/>
      <c r="T842" s="10"/>
      <c r="U842" s="13"/>
      <c r="V842" s="13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3"/>
      <c r="AL842" s="14"/>
      <c r="AM842" s="15"/>
      <c r="AN842" s="15"/>
      <c r="AO842" s="13"/>
      <c r="AP842" s="13"/>
      <c r="AQ842" s="16"/>
      <c r="AR842" s="10"/>
      <c r="AS842" s="10"/>
      <c r="AT842" s="10"/>
      <c r="AU842" s="10"/>
      <c r="AV842" s="11"/>
      <c r="AW842" s="11"/>
      <c r="AX842" s="10"/>
      <c r="AY842" s="11"/>
      <c r="AZ842" s="11"/>
      <c r="BA842" s="11"/>
      <c r="BB842" s="10"/>
      <c r="BC842" s="11"/>
      <c r="BD842" s="11"/>
      <c r="BE842" s="11"/>
      <c r="BF842" s="11"/>
      <c r="BG842" s="11"/>
      <c r="BH842" s="11"/>
      <c r="BI842" s="11"/>
      <c r="BJ842" s="11"/>
      <c r="BK842" s="11"/>
      <c r="BL842" s="11"/>
      <c r="BM842" s="11"/>
      <c r="BN842" s="11"/>
      <c r="BO842" s="11"/>
      <c r="BP842" s="11"/>
      <c r="BQ842" s="11"/>
      <c r="BR842" s="11"/>
      <c r="BS842" s="11"/>
      <c r="BT842" s="11"/>
      <c r="BU842" s="11"/>
      <c r="BV842" s="11"/>
      <c r="BW842" s="11"/>
      <c r="BX842" s="11"/>
      <c r="BY842" s="11"/>
      <c r="BZ842" s="11"/>
      <c r="CA842" s="11"/>
      <c r="CB842" s="11"/>
      <c r="CC842" s="17"/>
      <c r="CD842" s="17"/>
      <c r="CE842" s="11"/>
      <c r="CF842" s="13"/>
      <c r="CG842" s="13"/>
      <c r="CH842" s="13"/>
      <c r="CI842" s="13"/>
      <c r="CJ842" s="13"/>
    </row>
    <row r="843" spans="1:88" s="9" customFormat="1" x14ac:dyDescent="0.25">
      <c r="A843" s="10"/>
      <c r="B843" s="10"/>
      <c r="C843" s="10"/>
      <c r="D843" s="10"/>
      <c r="E843" s="11"/>
      <c r="F843" s="10"/>
      <c r="G843" s="10"/>
      <c r="H843" s="10"/>
      <c r="I843" s="10"/>
      <c r="J843" s="10"/>
      <c r="K843" s="12"/>
      <c r="L843" s="10"/>
      <c r="M843" s="10"/>
      <c r="N843" s="13"/>
      <c r="O843" s="10"/>
      <c r="P843" s="10"/>
      <c r="Q843" s="10"/>
      <c r="R843" s="18"/>
      <c r="S843" s="10"/>
      <c r="T843" s="10"/>
      <c r="U843" s="13"/>
      <c r="V843" s="13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3"/>
      <c r="AL843" s="14"/>
      <c r="AM843" s="15"/>
      <c r="AN843" s="15"/>
      <c r="AO843" s="13"/>
      <c r="AP843" s="13"/>
      <c r="AQ843" s="16"/>
      <c r="AR843" s="10"/>
      <c r="AS843" s="10"/>
      <c r="AT843" s="10"/>
      <c r="AU843" s="10"/>
      <c r="AV843" s="11"/>
      <c r="AW843" s="11"/>
      <c r="AX843" s="10"/>
      <c r="AY843" s="11"/>
      <c r="AZ843" s="11"/>
      <c r="BA843" s="11"/>
      <c r="BB843" s="10"/>
      <c r="BC843" s="11"/>
      <c r="BD843" s="11"/>
      <c r="BE843" s="11"/>
      <c r="BF843" s="11"/>
      <c r="BG843" s="11"/>
      <c r="BH843" s="11"/>
      <c r="BI843" s="11"/>
      <c r="BJ843" s="11"/>
      <c r="BK843" s="11"/>
      <c r="BL843" s="11"/>
      <c r="BM843" s="11"/>
      <c r="BN843" s="11"/>
      <c r="BO843" s="11"/>
      <c r="BP843" s="11"/>
      <c r="BQ843" s="11"/>
      <c r="BR843" s="11"/>
      <c r="BS843" s="11"/>
      <c r="BT843" s="11"/>
      <c r="BU843" s="11"/>
      <c r="BV843" s="11"/>
      <c r="BW843" s="11"/>
      <c r="BX843" s="11"/>
      <c r="BY843" s="11"/>
      <c r="BZ843" s="11"/>
      <c r="CA843" s="11"/>
      <c r="CB843" s="11"/>
      <c r="CC843" s="17"/>
      <c r="CD843" s="17"/>
      <c r="CE843" s="11"/>
      <c r="CF843" s="13"/>
      <c r="CG843" s="13"/>
      <c r="CH843" s="13"/>
      <c r="CI843" s="13"/>
      <c r="CJ843" s="13"/>
    </row>
    <row r="844" spans="1:88" s="9" customFormat="1" x14ac:dyDescent="0.25">
      <c r="A844" s="10"/>
      <c r="B844" s="10"/>
      <c r="C844" s="10"/>
      <c r="D844" s="10"/>
      <c r="E844" s="11"/>
      <c r="F844" s="10"/>
      <c r="G844" s="10"/>
      <c r="H844" s="10"/>
      <c r="I844" s="10"/>
      <c r="J844" s="10"/>
      <c r="K844" s="12"/>
      <c r="L844" s="10"/>
      <c r="M844" s="10"/>
      <c r="N844" s="13"/>
      <c r="O844" s="10"/>
      <c r="P844" s="10"/>
      <c r="Q844" s="10"/>
      <c r="R844" s="18"/>
      <c r="S844" s="10"/>
      <c r="T844" s="10"/>
      <c r="U844" s="13"/>
      <c r="V844" s="13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3"/>
      <c r="AL844" s="14"/>
      <c r="AM844" s="15"/>
      <c r="AN844" s="15"/>
      <c r="AO844" s="13"/>
      <c r="AP844" s="13"/>
      <c r="AQ844" s="16"/>
      <c r="AR844" s="10"/>
      <c r="AS844" s="10"/>
      <c r="AT844" s="10"/>
      <c r="AU844" s="10"/>
      <c r="AV844" s="11"/>
      <c r="AW844" s="11"/>
      <c r="AX844" s="10"/>
      <c r="AY844" s="11"/>
      <c r="AZ844" s="11"/>
      <c r="BA844" s="11"/>
      <c r="BB844" s="10"/>
      <c r="BC844" s="11"/>
      <c r="BD844" s="11"/>
      <c r="BE844" s="11"/>
      <c r="BF844" s="11"/>
      <c r="BG844" s="11"/>
      <c r="BH844" s="11"/>
      <c r="BI844" s="11"/>
      <c r="BJ844" s="11"/>
      <c r="BK844" s="11"/>
      <c r="BL844" s="11"/>
      <c r="BM844" s="11"/>
      <c r="BN844" s="11"/>
      <c r="BO844" s="11"/>
      <c r="BP844" s="11"/>
      <c r="BQ844" s="11"/>
      <c r="BR844" s="11"/>
      <c r="BS844" s="11"/>
      <c r="BT844" s="11"/>
      <c r="BU844" s="11"/>
      <c r="BV844" s="11"/>
      <c r="BW844" s="11"/>
      <c r="BX844" s="11"/>
      <c r="BY844" s="11"/>
      <c r="BZ844" s="11"/>
      <c r="CA844" s="11"/>
      <c r="CB844" s="11"/>
      <c r="CC844" s="17"/>
      <c r="CD844" s="17"/>
      <c r="CE844" s="11"/>
      <c r="CF844" s="13"/>
      <c r="CG844" s="13"/>
      <c r="CH844" s="13"/>
      <c r="CI844" s="13"/>
      <c r="CJ844" s="13"/>
    </row>
    <row r="845" spans="1:88" s="9" customFormat="1" x14ac:dyDescent="0.25">
      <c r="A845" s="10"/>
      <c r="B845" s="10"/>
      <c r="C845" s="10"/>
      <c r="D845" s="10"/>
      <c r="E845" s="11"/>
      <c r="F845" s="10"/>
      <c r="G845" s="10"/>
      <c r="H845" s="10"/>
      <c r="I845" s="10"/>
      <c r="J845" s="10"/>
      <c r="K845" s="12"/>
      <c r="L845" s="10"/>
      <c r="M845" s="10"/>
      <c r="N845" s="13"/>
      <c r="O845" s="10"/>
      <c r="P845" s="10"/>
      <c r="Q845" s="10"/>
      <c r="R845" s="18"/>
      <c r="S845" s="10"/>
      <c r="T845" s="10"/>
      <c r="U845" s="13"/>
      <c r="V845" s="13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3"/>
      <c r="AL845" s="14"/>
      <c r="AM845" s="15"/>
      <c r="AN845" s="15"/>
      <c r="AO845" s="13"/>
      <c r="AP845" s="13"/>
      <c r="AQ845" s="16"/>
      <c r="AR845" s="10"/>
      <c r="AS845" s="10"/>
      <c r="AT845" s="10"/>
      <c r="AU845" s="10"/>
      <c r="AV845" s="11"/>
      <c r="AW845" s="11"/>
      <c r="AX845" s="10"/>
      <c r="AY845" s="11"/>
      <c r="AZ845" s="11"/>
      <c r="BA845" s="11"/>
      <c r="BB845" s="10"/>
      <c r="BC845" s="11"/>
      <c r="BD845" s="11"/>
      <c r="BE845" s="11"/>
      <c r="BF845" s="11"/>
      <c r="BG845" s="11"/>
      <c r="BH845" s="11"/>
      <c r="BI845" s="11"/>
      <c r="BJ845" s="11"/>
      <c r="BK845" s="11"/>
      <c r="BL845" s="11"/>
      <c r="BM845" s="11"/>
      <c r="BN845" s="11"/>
      <c r="BO845" s="11"/>
      <c r="BP845" s="11"/>
      <c r="BQ845" s="11"/>
      <c r="BR845" s="11"/>
      <c r="BS845" s="11"/>
      <c r="BT845" s="11"/>
      <c r="BU845" s="11"/>
      <c r="BV845" s="11"/>
      <c r="BW845" s="11"/>
      <c r="BX845" s="11"/>
      <c r="BY845" s="11"/>
      <c r="BZ845" s="11"/>
      <c r="CA845" s="11"/>
      <c r="CB845" s="11"/>
      <c r="CC845" s="17"/>
      <c r="CD845" s="17"/>
      <c r="CE845" s="11"/>
      <c r="CF845" s="13"/>
      <c r="CG845" s="13"/>
      <c r="CH845" s="13"/>
      <c r="CI845" s="13"/>
      <c r="CJ845" s="13"/>
    </row>
    <row r="846" spans="1:88" s="9" customFormat="1" x14ac:dyDescent="0.25">
      <c r="A846" s="10"/>
      <c r="B846" s="10"/>
      <c r="C846" s="10"/>
      <c r="D846" s="10"/>
      <c r="E846" s="11"/>
      <c r="F846" s="10"/>
      <c r="G846" s="10"/>
      <c r="H846" s="10"/>
      <c r="I846" s="10"/>
      <c r="J846" s="10"/>
      <c r="K846" s="12"/>
      <c r="L846" s="10"/>
      <c r="M846" s="10"/>
      <c r="N846" s="13"/>
      <c r="O846" s="10"/>
      <c r="P846" s="10"/>
      <c r="Q846" s="10"/>
      <c r="R846" s="18"/>
      <c r="S846" s="10"/>
      <c r="T846" s="10"/>
      <c r="U846" s="13"/>
      <c r="V846" s="13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3"/>
      <c r="AL846" s="14"/>
      <c r="AM846" s="15"/>
      <c r="AN846" s="15"/>
      <c r="AO846" s="13"/>
      <c r="AP846" s="13"/>
      <c r="AQ846" s="16"/>
      <c r="AR846" s="10"/>
      <c r="AS846" s="10"/>
      <c r="AT846" s="10"/>
      <c r="AU846" s="10"/>
      <c r="AV846" s="11"/>
      <c r="AW846" s="11"/>
      <c r="AX846" s="10"/>
      <c r="AY846" s="11"/>
      <c r="AZ846" s="11"/>
      <c r="BA846" s="11"/>
      <c r="BB846" s="10"/>
      <c r="BC846" s="11"/>
      <c r="BD846" s="11"/>
      <c r="BE846" s="11"/>
      <c r="BF846" s="11"/>
      <c r="BG846" s="11"/>
      <c r="BH846" s="11"/>
      <c r="BI846" s="11"/>
      <c r="BJ846" s="11"/>
      <c r="BK846" s="11"/>
      <c r="BL846" s="11"/>
      <c r="BM846" s="11"/>
      <c r="BN846" s="11"/>
      <c r="BO846" s="11"/>
      <c r="BP846" s="11"/>
      <c r="BQ846" s="11"/>
      <c r="BR846" s="11"/>
      <c r="BS846" s="11"/>
      <c r="BT846" s="11"/>
      <c r="BU846" s="11"/>
      <c r="BV846" s="11"/>
      <c r="BW846" s="11"/>
      <c r="BX846" s="11"/>
      <c r="BY846" s="11"/>
      <c r="BZ846" s="11"/>
      <c r="CA846" s="11"/>
      <c r="CB846" s="11"/>
      <c r="CC846" s="17"/>
      <c r="CD846" s="17"/>
      <c r="CE846" s="11"/>
      <c r="CF846" s="13"/>
      <c r="CG846" s="13"/>
      <c r="CH846" s="13"/>
      <c r="CI846" s="13"/>
      <c r="CJ846" s="13"/>
    </row>
    <row r="847" spans="1:88" s="9" customFormat="1" x14ac:dyDescent="0.25">
      <c r="A847" s="10"/>
      <c r="B847" s="10"/>
      <c r="C847" s="10"/>
      <c r="D847" s="10"/>
      <c r="E847" s="11"/>
      <c r="F847" s="10"/>
      <c r="G847" s="10"/>
      <c r="H847" s="10"/>
      <c r="I847" s="10"/>
      <c r="J847" s="10"/>
      <c r="K847" s="12"/>
      <c r="L847" s="10"/>
      <c r="M847" s="10"/>
      <c r="N847" s="13"/>
      <c r="O847" s="10"/>
      <c r="P847" s="10"/>
      <c r="Q847" s="10"/>
      <c r="R847" s="18"/>
      <c r="S847" s="10"/>
      <c r="T847" s="10"/>
      <c r="U847" s="13"/>
      <c r="V847" s="13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3"/>
      <c r="AL847" s="14"/>
      <c r="AM847" s="15"/>
      <c r="AN847" s="15"/>
      <c r="AO847" s="13"/>
      <c r="AP847" s="13"/>
      <c r="AQ847" s="16"/>
      <c r="AR847" s="10"/>
      <c r="AS847" s="10"/>
      <c r="AT847" s="10"/>
      <c r="AU847" s="10"/>
      <c r="AV847" s="11"/>
      <c r="AW847" s="11"/>
      <c r="AX847" s="10"/>
      <c r="AY847" s="11"/>
      <c r="AZ847" s="11"/>
      <c r="BA847" s="11"/>
      <c r="BB847" s="10"/>
      <c r="BC847" s="11"/>
      <c r="BD847" s="11"/>
      <c r="BE847" s="11"/>
      <c r="BF847" s="11"/>
      <c r="BG847" s="11"/>
      <c r="BH847" s="11"/>
      <c r="BI847" s="11"/>
      <c r="BJ847" s="11"/>
      <c r="BK847" s="11"/>
      <c r="BL847" s="11"/>
      <c r="BM847" s="11"/>
      <c r="BN847" s="11"/>
      <c r="BO847" s="11"/>
      <c r="BP847" s="11"/>
      <c r="BQ847" s="11"/>
      <c r="BR847" s="11"/>
      <c r="BS847" s="11"/>
      <c r="BT847" s="11"/>
      <c r="BU847" s="11"/>
      <c r="BV847" s="11"/>
      <c r="BW847" s="11"/>
      <c r="BX847" s="11"/>
      <c r="BY847" s="11"/>
      <c r="BZ847" s="11"/>
      <c r="CA847" s="11"/>
      <c r="CB847" s="11"/>
      <c r="CC847" s="17"/>
      <c r="CD847" s="17"/>
      <c r="CE847" s="11"/>
      <c r="CF847" s="13"/>
      <c r="CG847" s="13"/>
      <c r="CH847" s="13"/>
      <c r="CI847" s="13"/>
      <c r="CJ847" s="13"/>
    </row>
    <row r="848" spans="1:88" s="9" customFormat="1" x14ac:dyDescent="0.25">
      <c r="A848" s="10"/>
      <c r="B848" s="10"/>
      <c r="C848" s="10"/>
      <c r="D848" s="10"/>
      <c r="E848" s="11"/>
      <c r="F848" s="10"/>
      <c r="G848" s="10"/>
      <c r="H848" s="10"/>
      <c r="I848" s="10"/>
      <c r="J848" s="10"/>
      <c r="K848" s="12"/>
      <c r="L848" s="10"/>
      <c r="M848" s="10"/>
      <c r="N848" s="13"/>
      <c r="O848" s="10"/>
      <c r="P848" s="10"/>
      <c r="Q848" s="10"/>
      <c r="R848" s="18"/>
      <c r="S848" s="10"/>
      <c r="T848" s="10"/>
      <c r="U848" s="13"/>
      <c r="V848" s="13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3"/>
      <c r="AL848" s="14"/>
      <c r="AM848" s="15"/>
      <c r="AN848" s="15"/>
      <c r="AO848" s="13"/>
      <c r="AP848" s="13"/>
      <c r="AQ848" s="16"/>
      <c r="AR848" s="10"/>
      <c r="AS848" s="10"/>
      <c r="AT848" s="10"/>
      <c r="AU848" s="10"/>
      <c r="AV848" s="11"/>
      <c r="AW848" s="11"/>
      <c r="AX848" s="10"/>
      <c r="AY848" s="11"/>
      <c r="AZ848" s="11"/>
      <c r="BA848" s="11"/>
      <c r="BB848" s="10"/>
      <c r="BC848" s="11"/>
      <c r="BD848" s="11"/>
      <c r="BE848" s="11"/>
      <c r="BF848" s="11"/>
      <c r="BG848" s="11"/>
      <c r="BH848" s="11"/>
      <c r="BI848" s="11"/>
      <c r="BJ848" s="11"/>
      <c r="BK848" s="11"/>
      <c r="BL848" s="11"/>
      <c r="BM848" s="11"/>
      <c r="BN848" s="11"/>
      <c r="BO848" s="11"/>
      <c r="BP848" s="11"/>
      <c r="BQ848" s="11"/>
      <c r="BR848" s="11"/>
      <c r="BS848" s="11"/>
      <c r="BT848" s="11"/>
      <c r="BU848" s="11"/>
      <c r="BV848" s="11"/>
      <c r="BW848" s="11"/>
      <c r="BX848" s="11"/>
      <c r="BY848" s="11"/>
      <c r="BZ848" s="11"/>
      <c r="CA848" s="11"/>
      <c r="CB848" s="11"/>
      <c r="CC848" s="17"/>
      <c r="CD848" s="17"/>
      <c r="CE848" s="11"/>
      <c r="CF848" s="13"/>
      <c r="CG848" s="13"/>
      <c r="CH848" s="13"/>
      <c r="CI848" s="13"/>
      <c r="CJ848" s="13"/>
    </row>
    <row r="849" spans="1:88" s="9" customFormat="1" x14ac:dyDescent="0.25">
      <c r="A849" s="10"/>
      <c r="B849" s="10"/>
      <c r="C849" s="10"/>
      <c r="D849" s="10"/>
      <c r="E849" s="11"/>
      <c r="F849" s="10"/>
      <c r="G849" s="10"/>
      <c r="H849" s="10"/>
      <c r="I849" s="10"/>
      <c r="J849" s="10"/>
      <c r="K849" s="12"/>
      <c r="L849" s="10"/>
      <c r="M849" s="10"/>
      <c r="N849" s="13"/>
      <c r="O849" s="10"/>
      <c r="P849" s="10"/>
      <c r="Q849" s="10"/>
      <c r="R849" s="18"/>
      <c r="S849" s="10"/>
      <c r="T849" s="10"/>
      <c r="U849" s="13"/>
      <c r="V849" s="13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3"/>
      <c r="AL849" s="14"/>
      <c r="AM849" s="15"/>
      <c r="AN849" s="15"/>
      <c r="AO849" s="13"/>
      <c r="AP849" s="13"/>
      <c r="AQ849" s="16"/>
      <c r="AR849" s="10"/>
      <c r="AS849" s="10"/>
      <c r="AT849" s="10"/>
      <c r="AU849" s="10"/>
      <c r="AV849" s="11"/>
      <c r="AW849" s="11"/>
      <c r="AX849" s="10"/>
      <c r="AY849" s="11"/>
      <c r="AZ849" s="11"/>
      <c r="BA849" s="11"/>
      <c r="BB849" s="10"/>
      <c r="BC849" s="11"/>
      <c r="BD849" s="11"/>
      <c r="BE849" s="11"/>
      <c r="BF849" s="11"/>
      <c r="BG849" s="11"/>
      <c r="BH849" s="11"/>
      <c r="BI849" s="11"/>
      <c r="BJ849" s="11"/>
      <c r="BK849" s="11"/>
      <c r="BL849" s="11"/>
      <c r="BM849" s="11"/>
      <c r="BN849" s="11"/>
      <c r="BO849" s="11"/>
      <c r="BP849" s="11"/>
      <c r="BQ849" s="11"/>
      <c r="BR849" s="11"/>
      <c r="BS849" s="11"/>
      <c r="BT849" s="11"/>
      <c r="BU849" s="11"/>
      <c r="BV849" s="11"/>
      <c r="BW849" s="11"/>
      <c r="BX849" s="11"/>
      <c r="BY849" s="11"/>
      <c r="BZ849" s="11"/>
      <c r="CA849" s="11"/>
      <c r="CB849" s="11"/>
      <c r="CC849" s="17"/>
      <c r="CD849" s="17"/>
      <c r="CE849" s="11"/>
      <c r="CF849" s="13"/>
      <c r="CG849" s="13"/>
      <c r="CH849" s="13"/>
      <c r="CI849" s="13"/>
      <c r="CJ849" s="13"/>
    </row>
    <row r="850" spans="1:88" s="9" customFormat="1" x14ac:dyDescent="0.25">
      <c r="A850" s="10"/>
      <c r="B850" s="10"/>
      <c r="C850" s="10"/>
      <c r="D850" s="10"/>
      <c r="E850" s="11"/>
      <c r="F850" s="10"/>
      <c r="G850" s="10"/>
      <c r="H850" s="10"/>
      <c r="I850" s="10"/>
      <c r="J850" s="10"/>
      <c r="K850" s="12"/>
      <c r="L850" s="10"/>
      <c r="M850" s="10"/>
      <c r="N850" s="13"/>
      <c r="O850" s="10"/>
      <c r="P850" s="10"/>
      <c r="Q850" s="10"/>
      <c r="R850" s="18"/>
      <c r="S850" s="10"/>
      <c r="T850" s="10"/>
      <c r="U850" s="13"/>
      <c r="V850" s="13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3"/>
      <c r="AL850" s="14"/>
      <c r="AM850" s="15"/>
      <c r="AN850" s="15"/>
      <c r="AO850" s="13"/>
      <c r="AP850" s="13"/>
      <c r="AQ850" s="16"/>
      <c r="AR850" s="10"/>
      <c r="AS850" s="10"/>
      <c r="AT850" s="10"/>
      <c r="AU850" s="10"/>
      <c r="AV850" s="11"/>
      <c r="AW850" s="11"/>
      <c r="AX850" s="10"/>
      <c r="AY850" s="11"/>
      <c r="AZ850" s="11"/>
      <c r="BA850" s="11"/>
      <c r="BB850" s="10"/>
      <c r="BC850" s="11"/>
      <c r="BD850" s="11"/>
      <c r="BE850" s="11"/>
      <c r="BF850" s="11"/>
      <c r="BG850" s="11"/>
      <c r="BH850" s="11"/>
      <c r="BI850" s="11"/>
      <c r="BJ850" s="11"/>
      <c r="BK850" s="11"/>
      <c r="BL850" s="11"/>
      <c r="BM850" s="11"/>
      <c r="BN850" s="11"/>
      <c r="BO850" s="11"/>
      <c r="BP850" s="11"/>
      <c r="BQ850" s="11"/>
      <c r="BR850" s="11"/>
      <c r="BS850" s="11"/>
      <c r="BT850" s="11"/>
      <c r="BU850" s="11"/>
      <c r="BV850" s="11"/>
      <c r="BW850" s="11"/>
      <c r="BX850" s="11"/>
      <c r="BY850" s="11"/>
      <c r="BZ850" s="11"/>
      <c r="CA850" s="11"/>
      <c r="CB850" s="11"/>
      <c r="CC850" s="17"/>
      <c r="CD850" s="17"/>
      <c r="CE850" s="11"/>
      <c r="CF850" s="13"/>
      <c r="CG850" s="13"/>
      <c r="CH850" s="13"/>
      <c r="CI850" s="13"/>
      <c r="CJ850" s="13"/>
    </row>
    <row r="851" spans="1:88" s="9" customFormat="1" x14ac:dyDescent="0.25">
      <c r="A851" s="10"/>
      <c r="B851" s="10"/>
      <c r="C851" s="10"/>
      <c r="D851" s="10"/>
      <c r="E851" s="11"/>
      <c r="F851" s="10"/>
      <c r="G851" s="10"/>
      <c r="H851" s="10"/>
      <c r="I851" s="10"/>
      <c r="J851" s="10"/>
      <c r="K851" s="12"/>
      <c r="L851" s="10"/>
      <c r="M851" s="10"/>
      <c r="N851" s="13"/>
      <c r="O851" s="10"/>
      <c r="P851" s="10"/>
      <c r="Q851" s="10"/>
      <c r="R851" s="18"/>
      <c r="S851" s="10"/>
      <c r="T851" s="10"/>
      <c r="U851" s="13"/>
      <c r="V851" s="13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3"/>
      <c r="AL851" s="14"/>
      <c r="AM851" s="15"/>
      <c r="AN851" s="15"/>
      <c r="AO851" s="13"/>
      <c r="AP851" s="13"/>
      <c r="AQ851" s="16"/>
      <c r="AR851" s="10"/>
      <c r="AS851" s="10"/>
      <c r="AT851" s="10"/>
      <c r="AU851" s="10"/>
      <c r="AV851" s="11"/>
      <c r="AW851" s="11"/>
      <c r="AX851" s="10"/>
      <c r="AY851" s="11"/>
      <c r="AZ851" s="11"/>
      <c r="BA851" s="11"/>
      <c r="BB851" s="10"/>
      <c r="BC851" s="11"/>
      <c r="BD851" s="11"/>
      <c r="BE851" s="11"/>
      <c r="BF851" s="11"/>
      <c r="BG851" s="11"/>
      <c r="BH851" s="11"/>
      <c r="BI851" s="11"/>
      <c r="BJ851" s="11"/>
      <c r="BK851" s="11"/>
      <c r="BL851" s="11"/>
      <c r="BM851" s="11"/>
      <c r="BN851" s="11"/>
      <c r="BO851" s="11"/>
      <c r="BP851" s="11"/>
      <c r="BQ851" s="11"/>
      <c r="BR851" s="11"/>
      <c r="BS851" s="11"/>
      <c r="BT851" s="11"/>
      <c r="BU851" s="11"/>
      <c r="BV851" s="11"/>
      <c r="BW851" s="11"/>
      <c r="BX851" s="11"/>
      <c r="BY851" s="11"/>
      <c r="BZ851" s="11"/>
      <c r="CA851" s="11"/>
      <c r="CB851" s="11"/>
      <c r="CC851" s="17"/>
      <c r="CD851" s="17"/>
      <c r="CE851" s="11"/>
      <c r="CF851" s="13"/>
      <c r="CG851" s="13"/>
      <c r="CH851" s="13"/>
      <c r="CI851" s="13"/>
      <c r="CJ851" s="13"/>
    </row>
    <row r="852" spans="1:88" s="9" customFormat="1" x14ac:dyDescent="0.25">
      <c r="A852" s="10"/>
      <c r="B852" s="10"/>
      <c r="C852" s="10"/>
      <c r="D852" s="10"/>
      <c r="E852" s="11"/>
      <c r="F852" s="10"/>
      <c r="G852" s="10"/>
      <c r="H852" s="10"/>
      <c r="I852" s="10"/>
      <c r="J852" s="10"/>
      <c r="K852" s="12"/>
      <c r="L852" s="10"/>
      <c r="M852" s="10"/>
      <c r="N852" s="13"/>
      <c r="O852" s="10"/>
      <c r="P852" s="10"/>
      <c r="Q852" s="10"/>
      <c r="R852" s="18"/>
      <c r="S852" s="10"/>
      <c r="T852" s="10"/>
      <c r="U852" s="13"/>
      <c r="V852" s="13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3"/>
      <c r="AL852" s="14"/>
      <c r="AM852" s="15"/>
      <c r="AN852" s="15"/>
      <c r="AO852" s="13"/>
      <c r="AP852" s="13"/>
      <c r="AQ852" s="16"/>
      <c r="AR852" s="10"/>
      <c r="AS852" s="10"/>
      <c r="AT852" s="10"/>
      <c r="AU852" s="10"/>
      <c r="AV852" s="11"/>
      <c r="AW852" s="11"/>
      <c r="AX852" s="10"/>
      <c r="AY852" s="11"/>
      <c r="AZ852" s="11"/>
      <c r="BA852" s="11"/>
      <c r="BB852" s="10"/>
      <c r="BC852" s="11"/>
      <c r="BD852" s="11"/>
      <c r="BE852" s="11"/>
      <c r="BF852" s="11"/>
      <c r="BG852" s="11"/>
      <c r="BH852" s="11"/>
      <c r="BI852" s="11"/>
      <c r="BJ852" s="11"/>
      <c r="BK852" s="11"/>
      <c r="BL852" s="11"/>
      <c r="BM852" s="11"/>
      <c r="BN852" s="11"/>
      <c r="BO852" s="11"/>
      <c r="BP852" s="11"/>
      <c r="BQ852" s="11"/>
      <c r="BR852" s="11"/>
      <c r="BS852" s="11"/>
      <c r="BT852" s="11"/>
      <c r="BU852" s="11"/>
      <c r="BV852" s="11"/>
      <c r="BW852" s="11"/>
      <c r="BX852" s="11"/>
      <c r="BY852" s="11"/>
      <c r="BZ852" s="11"/>
      <c r="CA852" s="11"/>
      <c r="CB852" s="11"/>
      <c r="CC852" s="17"/>
      <c r="CD852" s="17"/>
      <c r="CE852" s="11"/>
      <c r="CF852" s="13"/>
      <c r="CG852" s="13"/>
      <c r="CH852" s="13"/>
      <c r="CI852" s="13"/>
      <c r="CJ852" s="13"/>
    </row>
    <row r="853" spans="1:88" s="9" customFormat="1" x14ac:dyDescent="0.25">
      <c r="A853" s="10"/>
      <c r="B853" s="10"/>
      <c r="C853" s="10"/>
      <c r="D853" s="10"/>
      <c r="E853" s="11"/>
      <c r="F853" s="10"/>
      <c r="G853" s="10"/>
      <c r="H853" s="10"/>
      <c r="I853" s="10"/>
      <c r="J853" s="10"/>
      <c r="K853" s="12"/>
      <c r="L853" s="10"/>
      <c r="M853" s="10"/>
      <c r="N853" s="13"/>
      <c r="O853" s="10"/>
      <c r="P853" s="10"/>
      <c r="Q853" s="10"/>
      <c r="R853" s="18"/>
      <c r="S853" s="10"/>
      <c r="T853" s="10"/>
      <c r="U853" s="13"/>
      <c r="V853" s="13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3"/>
      <c r="AL853" s="14"/>
      <c r="AM853" s="15"/>
      <c r="AN853" s="15"/>
      <c r="AO853" s="13"/>
      <c r="AP853" s="13"/>
      <c r="AQ853" s="16"/>
      <c r="AR853" s="10"/>
      <c r="AS853" s="10"/>
      <c r="AT853" s="10"/>
      <c r="AU853" s="10"/>
      <c r="AV853" s="11"/>
      <c r="AW853" s="11"/>
      <c r="AX853" s="10"/>
      <c r="AY853" s="11"/>
      <c r="AZ853" s="11"/>
      <c r="BA853" s="11"/>
      <c r="BB853" s="10"/>
      <c r="BC853" s="11"/>
      <c r="BD853" s="11"/>
      <c r="BE853" s="11"/>
      <c r="BF853" s="11"/>
      <c r="BG853" s="11"/>
      <c r="BH853" s="11"/>
      <c r="BI853" s="11"/>
      <c r="BJ853" s="11"/>
      <c r="BK853" s="11"/>
      <c r="BL853" s="11"/>
      <c r="BM853" s="11"/>
      <c r="BN853" s="11"/>
      <c r="BO853" s="11"/>
      <c r="BP853" s="11"/>
      <c r="BQ853" s="11"/>
      <c r="BR853" s="11"/>
      <c r="BS853" s="11"/>
      <c r="BT853" s="11"/>
      <c r="BU853" s="11"/>
      <c r="BV853" s="11"/>
      <c r="BW853" s="11"/>
      <c r="BX853" s="11"/>
      <c r="BY853" s="11"/>
      <c r="BZ853" s="11"/>
      <c r="CA853" s="11"/>
      <c r="CB853" s="11"/>
      <c r="CC853" s="17"/>
      <c r="CD853" s="17"/>
      <c r="CE853" s="11"/>
      <c r="CF853" s="13"/>
      <c r="CG853" s="13"/>
      <c r="CH853" s="13"/>
      <c r="CI853" s="13"/>
      <c r="CJ853" s="13"/>
    </row>
    <row r="854" spans="1:88" s="9" customFormat="1" x14ac:dyDescent="0.25">
      <c r="A854" s="10"/>
      <c r="B854" s="10"/>
      <c r="C854" s="10"/>
      <c r="D854" s="10"/>
      <c r="E854" s="11"/>
      <c r="F854" s="10"/>
      <c r="G854" s="10"/>
      <c r="H854" s="10"/>
      <c r="I854" s="10"/>
      <c r="J854" s="10"/>
      <c r="K854" s="12"/>
      <c r="L854" s="10"/>
      <c r="M854" s="10"/>
      <c r="N854" s="13"/>
      <c r="O854" s="10"/>
      <c r="P854" s="10"/>
      <c r="Q854" s="10"/>
      <c r="R854" s="18"/>
      <c r="S854" s="10"/>
      <c r="T854" s="10"/>
      <c r="U854" s="13"/>
      <c r="V854" s="13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3"/>
      <c r="AL854" s="14"/>
      <c r="AM854" s="15"/>
      <c r="AN854" s="15"/>
      <c r="AO854" s="13"/>
      <c r="AP854" s="13"/>
      <c r="AQ854" s="16"/>
      <c r="AR854" s="10"/>
      <c r="AS854" s="10"/>
      <c r="AT854" s="10"/>
      <c r="AU854" s="10"/>
      <c r="AV854" s="11"/>
      <c r="AW854" s="11"/>
      <c r="AX854" s="10"/>
      <c r="AY854" s="11"/>
      <c r="AZ854" s="11"/>
      <c r="BA854" s="11"/>
      <c r="BB854" s="10"/>
      <c r="BC854" s="11"/>
      <c r="BD854" s="11"/>
      <c r="BE854" s="11"/>
      <c r="BF854" s="11"/>
      <c r="BG854" s="11"/>
      <c r="BH854" s="11"/>
      <c r="BI854" s="11"/>
      <c r="BJ854" s="11"/>
      <c r="BK854" s="11"/>
      <c r="BL854" s="11"/>
      <c r="BM854" s="11"/>
      <c r="BN854" s="11"/>
      <c r="BO854" s="11"/>
      <c r="BP854" s="11"/>
      <c r="BQ854" s="11"/>
      <c r="BR854" s="11"/>
      <c r="BS854" s="11"/>
      <c r="BT854" s="11"/>
      <c r="BU854" s="11"/>
      <c r="BV854" s="11"/>
      <c r="BW854" s="11"/>
      <c r="BX854" s="11"/>
      <c r="BY854" s="11"/>
      <c r="BZ854" s="11"/>
      <c r="CA854" s="11"/>
      <c r="CB854" s="11"/>
      <c r="CC854" s="17"/>
      <c r="CD854" s="17"/>
      <c r="CE854" s="11"/>
      <c r="CF854" s="13"/>
      <c r="CG854" s="13"/>
      <c r="CH854" s="13"/>
      <c r="CI854" s="13"/>
      <c r="CJ854" s="13"/>
    </row>
    <row r="855" spans="1:88" s="9" customFormat="1" x14ac:dyDescent="0.25">
      <c r="A855" s="10"/>
      <c r="B855" s="10"/>
      <c r="C855" s="10"/>
      <c r="D855" s="10"/>
      <c r="E855" s="11"/>
      <c r="F855" s="10"/>
      <c r="G855" s="10"/>
      <c r="H855" s="10"/>
      <c r="I855" s="10"/>
      <c r="J855" s="10"/>
      <c r="K855" s="12"/>
      <c r="L855" s="10"/>
      <c r="M855" s="10"/>
      <c r="N855" s="13"/>
      <c r="O855" s="10"/>
      <c r="P855" s="10"/>
      <c r="Q855" s="10"/>
      <c r="R855" s="18"/>
      <c r="S855" s="10"/>
      <c r="T855" s="10"/>
      <c r="U855" s="13"/>
      <c r="V855" s="13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3"/>
      <c r="AL855" s="14"/>
      <c r="AM855" s="15"/>
      <c r="AN855" s="15"/>
      <c r="AO855" s="13"/>
      <c r="AP855" s="13"/>
      <c r="AQ855" s="16"/>
      <c r="AR855" s="10"/>
      <c r="AS855" s="10"/>
      <c r="AT855" s="10"/>
      <c r="AU855" s="10"/>
      <c r="AV855" s="11"/>
      <c r="AW855" s="11"/>
      <c r="AX855" s="10"/>
      <c r="AY855" s="11"/>
      <c r="AZ855" s="11"/>
      <c r="BA855" s="11"/>
      <c r="BB855" s="10"/>
      <c r="BC855" s="11"/>
      <c r="BD855" s="11"/>
      <c r="BE855" s="11"/>
      <c r="BF855" s="11"/>
      <c r="BG855" s="11"/>
      <c r="BH855" s="11"/>
      <c r="BI855" s="11"/>
      <c r="BJ855" s="11"/>
      <c r="BK855" s="11"/>
      <c r="BL855" s="11"/>
      <c r="BM855" s="11"/>
      <c r="BN855" s="11"/>
      <c r="BO855" s="11"/>
      <c r="BP855" s="11"/>
      <c r="BQ855" s="11"/>
      <c r="BR855" s="11"/>
      <c r="BS855" s="11"/>
      <c r="BT855" s="11"/>
      <c r="BU855" s="11"/>
      <c r="BV855" s="11"/>
      <c r="BW855" s="11"/>
      <c r="BX855" s="11"/>
      <c r="BY855" s="11"/>
      <c r="BZ855" s="11"/>
      <c r="CA855" s="11"/>
      <c r="CB855" s="11"/>
      <c r="CC855" s="17"/>
      <c r="CD855" s="17"/>
      <c r="CE855" s="11"/>
      <c r="CF855" s="13"/>
      <c r="CG855" s="13"/>
      <c r="CH855" s="13"/>
      <c r="CI855" s="13"/>
      <c r="CJ855" s="13"/>
    </row>
    <row r="856" spans="1:88" s="9" customFormat="1" x14ac:dyDescent="0.25">
      <c r="A856" s="10"/>
      <c r="B856" s="10"/>
      <c r="C856" s="10"/>
      <c r="D856" s="10"/>
      <c r="E856" s="11"/>
      <c r="F856" s="10"/>
      <c r="G856" s="10"/>
      <c r="H856" s="10"/>
      <c r="I856" s="10"/>
      <c r="J856" s="10"/>
      <c r="K856" s="12"/>
      <c r="L856" s="10"/>
      <c r="M856" s="10"/>
      <c r="N856" s="13"/>
      <c r="O856" s="10"/>
      <c r="P856" s="10"/>
      <c r="Q856" s="10"/>
      <c r="R856" s="18"/>
      <c r="S856" s="10"/>
      <c r="T856" s="10"/>
      <c r="U856" s="13"/>
      <c r="V856" s="13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3"/>
      <c r="AL856" s="14"/>
      <c r="AM856" s="15"/>
      <c r="AN856" s="15"/>
      <c r="AO856" s="13"/>
      <c r="AP856" s="13"/>
      <c r="AQ856" s="16"/>
      <c r="AR856" s="10"/>
      <c r="AS856" s="10"/>
      <c r="AT856" s="10"/>
      <c r="AU856" s="10"/>
      <c r="AV856" s="11"/>
      <c r="AW856" s="11"/>
      <c r="AX856" s="10"/>
      <c r="AY856" s="11"/>
      <c r="AZ856" s="11"/>
      <c r="BA856" s="11"/>
      <c r="BB856" s="10"/>
      <c r="BC856" s="11"/>
      <c r="BD856" s="11"/>
      <c r="BE856" s="11"/>
      <c r="BF856" s="11"/>
      <c r="BG856" s="11"/>
      <c r="BH856" s="11"/>
      <c r="BI856" s="11"/>
      <c r="BJ856" s="11"/>
      <c r="BK856" s="11"/>
      <c r="BL856" s="11"/>
      <c r="BM856" s="11"/>
      <c r="BN856" s="11"/>
      <c r="BO856" s="11"/>
      <c r="BP856" s="11"/>
      <c r="BQ856" s="11"/>
      <c r="BR856" s="11"/>
      <c r="BS856" s="11"/>
      <c r="BT856" s="11"/>
      <c r="BU856" s="11"/>
      <c r="BV856" s="11"/>
      <c r="BW856" s="11"/>
      <c r="BX856" s="11"/>
      <c r="BY856" s="11"/>
      <c r="BZ856" s="11"/>
      <c r="CA856" s="11"/>
      <c r="CB856" s="11"/>
      <c r="CC856" s="17"/>
      <c r="CD856" s="17"/>
      <c r="CE856" s="11"/>
      <c r="CF856" s="13"/>
      <c r="CG856" s="13"/>
      <c r="CH856" s="13"/>
      <c r="CI856" s="13"/>
      <c r="CJ856" s="13"/>
    </row>
    <row r="857" spans="1:88" s="9" customFormat="1" x14ac:dyDescent="0.25">
      <c r="A857" s="10"/>
      <c r="B857" s="10"/>
      <c r="C857" s="10"/>
      <c r="D857" s="10"/>
      <c r="E857" s="11"/>
      <c r="F857" s="10"/>
      <c r="G857" s="10"/>
      <c r="H857" s="10"/>
      <c r="I857" s="10"/>
      <c r="J857" s="10"/>
      <c r="K857" s="12"/>
      <c r="L857" s="10"/>
      <c r="M857" s="10"/>
      <c r="N857" s="13"/>
      <c r="O857" s="10"/>
      <c r="P857" s="10"/>
      <c r="Q857" s="10"/>
      <c r="R857" s="18"/>
      <c r="S857" s="10"/>
      <c r="T857" s="10"/>
      <c r="U857" s="13"/>
      <c r="V857" s="13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3"/>
      <c r="AL857" s="14"/>
      <c r="AM857" s="15"/>
      <c r="AN857" s="15"/>
      <c r="AO857" s="13"/>
      <c r="AP857" s="13"/>
      <c r="AQ857" s="16"/>
      <c r="AR857" s="10"/>
      <c r="AS857" s="10"/>
      <c r="AT857" s="10"/>
      <c r="AU857" s="10"/>
      <c r="AV857" s="11"/>
      <c r="AW857" s="11"/>
      <c r="AX857" s="10"/>
      <c r="AY857" s="11"/>
      <c r="AZ857" s="11"/>
      <c r="BA857" s="11"/>
      <c r="BB857" s="10"/>
      <c r="BC857" s="11"/>
      <c r="BD857" s="11"/>
      <c r="BE857" s="11"/>
      <c r="BF857" s="11"/>
      <c r="BG857" s="11"/>
      <c r="BH857" s="11"/>
      <c r="BI857" s="11"/>
      <c r="BJ857" s="11"/>
      <c r="BK857" s="11"/>
      <c r="BL857" s="11"/>
      <c r="BM857" s="11"/>
      <c r="BN857" s="11"/>
      <c r="BO857" s="11"/>
      <c r="BP857" s="11"/>
      <c r="BQ857" s="11"/>
      <c r="BR857" s="11"/>
      <c r="BS857" s="11"/>
      <c r="BT857" s="11"/>
      <c r="BU857" s="11"/>
      <c r="BV857" s="11"/>
      <c r="BW857" s="11"/>
      <c r="BX857" s="11"/>
      <c r="BY857" s="11"/>
      <c r="BZ857" s="11"/>
      <c r="CA857" s="11"/>
      <c r="CB857" s="11"/>
      <c r="CC857" s="17"/>
      <c r="CD857" s="17"/>
      <c r="CE857" s="11"/>
      <c r="CF857" s="13"/>
      <c r="CG857" s="13"/>
      <c r="CH857" s="13"/>
      <c r="CI857" s="13"/>
      <c r="CJ857" s="13"/>
    </row>
    <row r="858" spans="1:88" s="9" customFormat="1" x14ac:dyDescent="0.25">
      <c r="A858" s="10"/>
      <c r="B858" s="10"/>
      <c r="C858" s="10"/>
      <c r="D858" s="10"/>
      <c r="E858" s="11"/>
      <c r="F858" s="10"/>
      <c r="G858" s="10"/>
      <c r="H858" s="10"/>
      <c r="I858" s="10"/>
      <c r="J858" s="10"/>
      <c r="K858" s="12"/>
      <c r="L858" s="10"/>
      <c r="M858" s="10"/>
      <c r="N858" s="13"/>
      <c r="O858" s="10"/>
      <c r="P858" s="10"/>
      <c r="Q858" s="10"/>
      <c r="R858" s="18"/>
      <c r="S858" s="10"/>
      <c r="T858" s="10"/>
      <c r="U858" s="13"/>
      <c r="V858" s="13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3"/>
      <c r="AL858" s="14"/>
      <c r="AM858" s="15"/>
      <c r="AN858" s="15"/>
      <c r="AO858" s="13"/>
      <c r="AP858" s="13"/>
      <c r="AQ858" s="16"/>
      <c r="AR858" s="10"/>
      <c r="AS858" s="10"/>
      <c r="AT858" s="10"/>
      <c r="AU858" s="10"/>
      <c r="AV858" s="11"/>
      <c r="AW858" s="11"/>
      <c r="AX858" s="10"/>
      <c r="AY858" s="11"/>
      <c r="AZ858" s="11"/>
      <c r="BA858" s="11"/>
      <c r="BB858" s="10"/>
      <c r="BC858" s="11"/>
      <c r="BD858" s="11"/>
      <c r="BE858" s="11"/>
      <c r="BF858" s="11"/>
      <c r="BG858" s="11"/>
      <c r="BH858" s="11"/>
      <c r="BI858" s="11"/>
      <c r="BJ858" s="11"/>
      <c r="BK858" s="11"/>
      <c r="BL858" s="11"/>
      <c r="BM858" s="11"/>
      <c r="BN858" s="11"/>
      <c r="BO858" s="11"/>
      <c r="BP858" s="11"/>
      <c r="BQ858" s="11"/>
      <c r="BR858" s="11"/>
      <c r="BS858" s="11"/>
      <c r="BT858" s="11"/>
      <c r="BU858" s="11"/>
      <c r="BV858" s="11"/>
      <c r="BW858" s="11"/>
      <c r="BX858" s="11"/>
      <c r="BY858" s="11"/>
      <c r="BZ858" s="11"/>
      <c r="CA858" s="11"/>
      <c r="CB858" s="11"/>
      <c r="CC858" s="17"/>
      <c r="CD858" s="17"/>
      <c r="CE858" s="11"/>
      <c r="CF858" s="13"/>
      <c r="CG858" s="13"/>
      <c r="CH858" s="13"/>
      <c r="CI858" s="13"/>
      <c r="CJ858" s="13"/>
    </row>
    <row r="859" spans="1:88" s="9" customFormat="1" x14ac:dyDescent="0.25">
      <c r="A859" s="10"/>
      <c r="B859" s="10"/>
      <c r="C859" s="10"/>
      <c r="D859" s="10"/>
      <c r="E859" s="11"/>
      <c r="F859" s="10"/>
      <c r="G859" s="10"/>
      <c r="H859" s="10"/>
      <c r="I859" s="10"/>
      <c r="J859" s="10"/>
      <c r="K859" s="12"/>
      <c r="L859" s="10"/>
      <c r="M859" s="10"/>
      <c r="N859" s="13"/>
      <c r="O859" s="10"/>
      <c r="P859" s="10"/>
      <c r="Q859" s="10"/>
      <c r="R859" s="18"/>
      <c r="S859" s="10"/>
      <c r="T859" s="10"/>
      <c r="U859" s="13"/>
      <c r="V859" s="13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3"/>
      <c r="AL859" s="14"/>
      <c r="AM859" s="15"/>
      <c r="AN859" s="15"/>
      <c r="AO859" s="13"/>
      <c r="AP859" s="13"/>
      <c r="AQ859" s="16"/>
      <c r="AR859" s="10"/>
      <c r="AS859" s="10"/>
      <c r="AT859" s="10"/>
      <c r="AU859" s="10"/>
      <c r="AV859" s="11"/>
      <c r="AW859" s="11"/>
      <c r="AX859" s="10"/>
      <c r="AY859" s="11"/>
      <c r="AZ859" s="11"/>
      <c r="BA859" s="11"/>
      <c r="BB859" s="10"/>
      <c r="BC859" s="11"/>
      <c r="BD859" s="11"/>
      <c r="BE859" s="11"/>
      <c r="BF859" s="11"/>
      <c r="BG859" s="11"/>
      <c r="BH859" s="11"/>
      <c r="BI859" s="11"/>
      <c r="BJ859" s="11"/>
      <c r="BK859" s="11"/>
      <c r="BL859" s="11"/>
      <c r="BM859" s="11"/>
      <c r="BN859" s="11"/>
      <c r="BO859" s="11"/>
      <c r="BP859" s="11"/>
      <c r="BQ859" s="11"/>
      <c r="BR859" s="11"/>
      <c r="BS859" s="11"/>
      <c r="BT859" s="11"/>
      <c r="BU859" s="11"/>
      <c r="BV859" s="11"/>
      <c r="BW859" s="11"/>
      <c r="BX859" s="11"/>
      <c r="BY859" s="11"/>
      <c r="BZ859" s="11"/>
      <c r="CA859" s="11"/>
      <c r="CB859" s="11"/>
      <c r="CC859" s="17"/>
      <c r="CD859" s="17"/>
      <c r="CE859" s="11"/>
      <c r="CF859" s="13"/>
      <c r="CG859" s="13"/>
      <c r="CH859" s="13"/>
      <c r="CI859" s="13"/>
      <c r="CJ859" s="13"/>
    </row>
    <row r="860" spans="1:88" s="9" customFormat="1" x14ac:dyDescent="0.25">
      <c r="A860" s="10"/>
      <c r="B860" s="10"/>
      <c r="C860" s="10"/>
      <c r="D860" s="10"/>
      <c r="E860" s="11"/>
      <c r="F860" s="10"/>
      <c r="G860" s="10"/>
      <c r="H860" s="10"/>
      <c r="I860" s="10"/>
      <c r="J860" s="10"/>
      <c r="K860" s="12"/>
      <c r="L860" s="10"/>
      <c r="M860" s="10"/>
      <c r="N860" s="13"/>
      <c r="O860" s="10"/>
      <c r="P860" s="10"/>
      <c r="Q860" s="10"/>
      <c r="R860" s="18"/>
      <c r="S860" s="10"/>
      <c r="T860" s="10"/>
      <c r="U860" s="13"/>
      <c r="V860" s="13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3"/>
      <c r="AL860" s="14"/>
      <c r="AM860" s="15"/>
      <c r="AN860" s="15"/>
      <c r="AO860" s="13"/>
      <c r="AP860" s="13"/>
      <c r="AQ860" s="16"/>
      <c r="AR860" s="10"/>
      <c r="AS860" s="10"/>
      <c r="AT860" s="10"/>
      <c r="AU860" s="10"/>
      <c r="AV860" s="11"/>
      <c r="AW860" s="11"/>
      <c r="AX860" s="10"/>
      <c r="AY860" s="11"/>
      <c r="AZ860" s="11"/>
      <c r="BA860" s="11"/>
      <c r="BB860" s="10"/>
      <c r="BC860" s="11"/>
      <c r="BD860" s="11"/>
      <c r="BE860" s="11"/>
      <c r="BF860" s="11"/>
      <c r="BG860" s="11"/>
      <c r="BH860" s="11"/>
      <c r="BI860" s="11"/>
      <c r="BJ860" s="11"/>
      <c r="BK860" s="11"/>
      <c r="BL860" s="11"/>
      <c r="BM860" s="11"/>
      <c r="BN860" s="11"/>
      <c r="BO860" s="11"/>
      <c r="BP860" s="11"/>
      <c r="BQ860" s="11"/>
      <c r="BR860" s="11"/>
      <c r="BS860" s="11"/>
      <c r="BT860" s="11"/>
      <c r="BU860" s="11"/>
      <c r="BV860" s="11"/>
      <c r="BW860" s="11"/>
      <c r="BX860" s="11"/>
      <c r="BY860" s="11"/>
      <c r="BZ860" s="11"/>
      <c r="CA860" s="11"/>
      <c r="CB860" s="11"/>
      <c r="CC860" s="17"/>
      <c r="CD860" s="17"/>
      <c r="CE860" s="11"/>
      <c r="CF860" s="13"/>
      <c r="CG860" s="13"/>
      <c r="CH860" s="13"/>
      <c r="CI860" s="13"/>
      <c r="CJ860" s="13"/>
    </row>
    <row r="861" spans="1:88" s="9" customFormat="1" x14ac:dyDescent="0.25">
      <c r="A861" s="10"/>
      <c r="B861" s="10"/>
      <c r="C861" s="10"/>
      <c r="D861" s="10"/>
      <c r="E861" s="11"/>
      <c r="F861" s="10"/>
      <c r="G861" s="10"/>
      <c r="H861" s="10"/>
      <c r="I861" s="10"/>
      <c r="J861" s="10"/>
      <c r="K861" s="12"/>
      <c r="L861" s="10"/>
      <c r="M861" s="10"/>
      <c r="N861" s="13"/>
      <c r="O861" s="10"/>
      <c r="P861" s="10"/>
      <c r="Q861" s="10"/>
      <c r="R861" s="18"/>
      <c r="S861" s="10"/>
      <c r="T861" s="10"/>
      <c r="U861" s="13"/>
      <c r="V861" s="13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3"/>
      <c r="AL861" s="14"/>
      <c r="AM861" s="15"/>
      <c r="AN861" s="15"/>
      <c r="AO861" s="13"/>
      <c r="AP861" s="13"/>
      <c r="AQ861" s="16"/>
      <c r="AR861" s="10"/>
      <c r="AS861" s="10"/>
      <c r="AT861" s="10"/>
      <c r="AU861" s="10"/>
      <c r="AV861" s="11"/>
      <c r="AW861" s="11"/>
      <c r="AX861" s="10"/>
      <c r="AY861" s="11"/>
      <c r="AZ861" s="11"/>
      <c r="BA861" s="11"/>
      <c r="BB861" s="10"/>
      <c r="BC861" s="11"/>
      <c r="BD861" s="11"/>
      <c r="BE861" s="11"/>
      <c r="BF861" s="11"/>
      <c r="BG861" s="11"/>
      <c r="BH861" s="11"/>
      <c r="BI861" s="11"/>
      <c r="BJ861" s="11"/>
      <c r="BK861" s="11"/>
      <c r="BL861" s="11"/>
      <c r="BM861" s="11"/>
      <c r="BN861" s="11"/>
      <c r="BO861" s="11"/>
      <c r="BP861" s="11"/>
      <c r="BQ861" s="11"/>
      <c r="BR861" s="11"/>
      <c r="BS861" s="11"/>
      <c r="BT861" s="11"/>
      <c r="BU861" s="11"/>
      <c r="BV861" s="11"/>
      <c r="BW861" s="11"/>
      <c r="BX861" s="11"/>
      <c r="BY861" s="11"/>
      <c r="BZ861" s="11"/>
      <c r="CA861" s="11"/>
      <c r="CB861" s="11"/>
      <c r="CC861" s="17"/>
      <c r="CD861" s="17"/>
      <c r="CE861" s="11"/>
      <c r="CF861" s="13"/>
      <c r="CG861" s="13"/>
      <c r="CH861" s="13"/>
      <c r="CI861" s="13"/>
      <c r="CJ861" s="13"/>
    </row>
    <row r="862" spans="1:88" s="9" customFormat="1" x14ac:dyDescent="0.25">
      <c r="A862" s="10"/>
      <c r="B862" s="10"/>
      <c r="C862" s="10"/>
      <c r="D862" s="10"/>
      <c r="E862" s="11"/>
      <c r="F862" s="10"/>
      <c r="G862" s="10"/>
      <c r="H862" s="10"/>
      <c r="I862" s="10"/>
      <c r="J862" s="10"/>
      <c r="K862" s="12"/>
      <c r="L862" s="10"/>
      <c r="M862" s="10"/>
      <c r="N862" s="13"/>
      <c r="O862" s="10"/>
      <c r="P862" s="10"/>
      <c r="Q862" s="10"/>
      <c r="R862" s="18"/>
      <c r="S862" s="10"/>
      <c r="T862" s="10"/>
      <c r="U862" s="13"/>
      <c r="V862" s="13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3"/>
      <c r="AL862" s="14"/>
      <c r="AM862" s="15"/>
      <c r="AN862" s="15"/>
      <c r="AO862" s="13"/>
      <c r="AP862" s="13"/>
      <c r="AQ862" s="16"/>
      <c r="AR862" s="10"/>
      <c r="AS862" s="10"/>
      <c r="AT862" s="10"/>
      <c r="AU862" s="10"/>
      <c r="AV862" s="11"/>
      <c r="AW862" s="11"/>
      <c r="AX862" s="10"/>
      <c r="AY862" s="11"/>
      <c r="AZ862" s="11"/>
      <c r="BA862" s="11"/>
      <c r="BB862" s="10"/>
      <c r="BC862" s="11"/>
      <c r="BD862" s="11"/>
      <c r="BE862" s="11"/>
      <c r="BF862" s="11"/>
      <c r="BG862" s="11"/>
      <c r="BH862" s="11"/>
      <c r="BI862" s="11"/>
      <c r="BJ862" s="11"/>
      <c r="BK862" s="11"/>
      <c r="BL862" s="11"/>
      <c r="BM862" s="11"/>
      <c r="BN862" s="11"/>
      <c r="BO862" s="11"/>
      <c r="BP862" s="11"/>
      <c r="BQ862" s="11"/>
      <c r="BR862" s="11"/>
      <c r="BS862" s="11"/>
      <c r="BT862" s="11"/>
      <c r="BU862" s="11"/>
      <c r="BV862" s="11"/>
      <c r="BW862" s="11"/>
      <c r="BX862" s="11"/>
      <c r="BY862" s="11"/>
      <c r="BZ862" s="11"/>
      <c r="CA862" s="11"/>
      <c r="CB862" s="11"/>
      <c r="CC862" s="17"/>
      <c r="CD862" s="17"/>
      <c r="CE862" s="11"/>
      <c r="CF862" s="13"/>
      <c r="CG862" s="13"/>
      <c r="CH862" s="13"/>
      <c r="CI862" s="13"/>
      <c r="CJ862" s="13"/>
    </row>
    <row r="863" spans="1:88" s="9" customFormat="1" x14ac:dyDescent="0.25">
      <c r="A863" s="10"/>
      <c r="B863" s="10"/>
      <c r="C863" s="10"/>
      <c r="D863" s="10"/>
      <c r="E863" s="11"/>
      <c r="F863" s="10"/>
      <c r="G863" s="10"/>
      <c r="H863" s="10"/>
      <c r="I863" s="10"/>
      <c r="J863" s="10"/>
      <c r="K863" s="12"/>
      <c r="L863" s="10"/>
      <c r="M863" s="10"/>
      <c r="N863" s="13"/>
      <c r="O863" s="10"/>
      <c r="P863" s="10"/>
      <c r="Q863" s="10"/>
      <c r="R863" s="18"/>
      <c r="S863" s="10"/>
      <c r="T863" s="10"/>
      <c r="U863" s="13"/>
      <c r="V863" s="13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3"/>
      <c r="AL863" s="14"/>
      <c r="AM863" s="15"/>
      <c r="AN863" s="15"/>
      <c r="AO863" s="13"/>
      <c r="AP863" s="13"/>
      <c r="AQ863" s="16"/>
      <c r="AR863" s="10"/>
      <c r="AS863" s="10"/>
      <c r="AT863" s="10"/>
      <c r="AU863" s="10"/>
      <c r="AV863" s="11"/>
      <c r="AW863" s="11"/>
      <c r="AX863" s="10"/>
      <c r="AY863" s="11"/>
      <c r="AZ863" s="11"/>
      <c r="BA863" s="11"/>
      <c r="BB863" s="10"/>
      <c r="BC863" s="11"/>
      <c r="BD863" s="11"/>
      <c r="BE863" s="11"/>
      <c r="BF863" s="11"/>
      <c r="BG863" s="11"/>
      <c r="BH863" s="11"/>
      <c r="BI863" s="11"/>
      <c r="BJ863" s="11"/>
      <c r="BK863" s="11"/>
      <c r="BL863" s="11"/>
      <c r="BM863" s="11"/>
      <c r="BN863" s="11"/>
      <c r="BO863" s="11"/>
      <c r="BP863" s="11"/>
      <c r="BQ863" s="11"/>
      <c r="BR863" s="11"/>
      <c r="BS863" s="11"/>
      <c r="BT863" s="11"/>
      <c r="BU863" s="11"/>
      <c r="BV863" s="11"/>
      <c r="BW863" s="11"/>
      <c r="BX863" s="11"/>
      <c r="BY863" s="11"/>
      <c r="BZ863" s="11"/>
      <c r="CA863" s="11"/>
      <c r="CB863" s="11"/>
      <c r="CC863" s="17"/>
      <c r="CD863" s="17"/>
      <c r="CE863" s="11"/>
      <c r="CF863" s="13"/>
      <c r="CG863" s="13"/>
      <c r="CH863" s="13"/>
      <c r="CI863" s="13"/>
      <c r="CJ863" s="13"/>
    </row>
    <row r="864" spans="1:88" s="9" customFormat="1" x14ac:dyDescent="0.25">
      <c r="A864" s="10"/>
      <c r="B864" s="10"/>
      <c r="C864" s="10"/>
      <c r="D864" s="10"/>
      <c r="E864" s="11"/>
      <c r="F864" s="10"/>
      <c r="G864" s="10"/>
      <c r="H864" s="10"/>
      <c r="I864" s="10"/>
      <c r="J864" s="10"/>
      <c r="K864" s="12"/>
      <c r="L864" s="10"/>
      <c r="M864" s="10"/>
      <c r="N864" s="13"/>
      <c r="O864" s="10"/>
      <c r="P864" s="10"/>
      <c r="Q864" s="10"/>
      <c r="R864" s="18"/>
      <c r="S864" s="10"/>
      <c r="T864" s="10"/>
      <c r="U864" s="13"/>
      <c r="V864" s="13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3"/>
      <c r="AL864" s="14"/>
      <c r="AM864" s="15"/>
      <c r="AN864" s="15"/>
      <c r="AO864" s="13"/>
      <c r="AP864" s="13"/>
      <c r="AQ864" s="16"/>
      <c r="AR864" s="10"/>
      <c r="AS864" s="10"/>
      <c r="AT864" s="10"/>
      <c r="AU864" s="10"/>
      <c r="AV864" s="11"/>
      <c r="AW864" s="11"/>
      <c r="AX864" s="10"/>
      <c r="AY864" s="11"/>
      <c r="AZ864" s="11"/>
      <c r="BA864" s="11"/>
      <c r="BB864" s="10"/>
      <c r="BC864" s="11"/>
      <c r="BD864" s="11"/>
      <c r="BE864" s="11"/>
      <c r="BF864" s="11"/>
      <c r="BG864" s="11"/>
      <c r="BH864" s="11"/>
      <c r="BI864" s="11"/>
      <c r="BJ864" s="11"/>
      <c r="BK864" s="11"/>
      <c r="BL864" s="11"/>
      <c r="BM864" s="11"/>
      <c r="BN864" s="11"/>
      <c r="BO864" s="11"/>
      <c r="BP864" s="11"/>
      <c r="BQ864" s="11"/>
      <c r="BR864" s="11"/>
      <c r="BS864" s="11"/>
      <c r="BT864" s="11"/>
      <c r="BU864" s="11"/>
      <c r="BV864" s="11"/>
      <c r="BW864" s="11"/>
      <c r="BX864" s="11"/>
      <c r="BY864" s="11"/>
      <c r="BZ864" s="11"/>
      <c r="CA864" s="11"/>
      <c r="CB864" s="11"/>
      <c r="CC864" s="17"/>
      <c r="CD864" s="17"/>
      <c r="CE864" s="11"/>
      <c r="CF864" s="13"/>
      <c r="CG864" s="13"/>
      <c r="CH864" s="13"/>
      <c r="CI864" s="13"/>
      <c r="CJ864" s="13"/>
    </row>
    <row r="865" spans="1:88" s="9" customFormat="1" x14ac:dyDescent="0.25">
      <c r="A865" s="10"/>
      <c r="B865" s="10"/>
      <c r="C865" s="10"/>
      <c r="D865" s="10"/>
      <c r="E865" s="11"/>
      <c r="F865" s="10"/>
      <c r="G865" s="10"/>
      <c r="H865" s="10"/>
      <c r="I865" s="10"/>
      <c r="J865" s="10"/>
      <c r="K865" s="12"/>
      <c r="L865" s="10"/>
      <c r="M865" s="10"/>
      <c r="N865" s="13"/>
      <c r="O865" s="10"/>
      <c r="P865" s="10"/>
      <c r="Q865" s="10"/>
      <c r="R865" s="18"/>
      <c r="S865" s="10"/>
      <c r="T865" s="10"/>
      <c r="U865" s="13"/>
      <c r="V865" s="13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3"/>
      <c r="AL865" s="14"/>
      <c r="AM865" s="15"/>
      <c r="AN865" s="15"/>
      <c r="AO865" s="13"/>
      <c r="AP865" s="13"/>
      <c r="AQ865" s="16"/>
      <c r="AR865" s="10"/>
      <c r="AS865" s="10"/>
      <c r="AT865" s="10"/>
      <c r="AU865" s="10"/>
      <c r="AV865" s="11"/>
      <c r="AW865" s="11"/>
      <c r="AX865" s="10"/>
      <c r="AY865" s="11"/>
      <c r="AZ865" s="11"/>
      <c r="BA865" s="11"/>
      <c r="BB865" s="10"/>
      <c r="BC865" s="11"/>
      <c r="BD865" s="11"/>
      <c r="BE865" s="11"/>
      <c r="BF865" s="11"/>
      <c r="BG865" s="11"/>
      <c r="BH865" s="11"/>
      <c r="BI865" s="11"/>
      <c r="BJ865" s="11"/>
      <c r="BK865" s="11"/>
      <c r="BL865" s="11"/>
      <c r="BM865" s="11"/>
      <c r="BN865" s="11"/>
      <c r="BO865" s="11"/>
      <c r="BP865" s="11"/>
      <c r="BQ865" s="11"/>
      <c r="BR865" s="11"/>
      <c r="BS865" s="11"/>
      <c r="BT865" s="11"/>
      <c r="BU865" s="11"/>
      <c r="BV865" s="11"/>
      <c r="BW865" s="11"/>
      <c r="BX865" s="11"/>
      <c r="BY865" s="11"/>
      <c r="BZ865" s="11"/>
      <c r="CA865" s="11"/>
      <c r="CB865" s="11"/>
      <c r="CC865" s="17"/>
      <c r="CD865" s="17"/>
      <c r="CE865" s="11"/>
      <c r="CF865" s="13"/>
      <c r="CG865" s="13"/>
      <c r="CH865" s="13"/>
      <c r="CI865" s="13"/>
      <c r="CJ865" s="13"/>
    </row>
    <row r="866" spans="1:88" s="9" customFormat="1" x14ac:dyDescent="0.25">
      <c r="A866" s="10"/>
      <c r="B866" s="10"/>
      <c r="C866" s="10"/>
      <c r="D866" s="10"/>
      <c r="E866" s="11"/>
      <c r="F866" s="10"/>
      <c r="G866" s="10"/>
      <c r="H866" s="10"/>
      <c r="I866" s="10"/>
      <c r="J866" s="10"/>
      <c r="K866" s="12"/>
      <c r="L866" s="10"/>
      <c r="M866" s="10"/>
      <c r="N866" s="13"/>
      <c r="O866" s="10"/>
      <c r="P866" s="10"/>
      <c r="Q866" s="10"/>
      <c r="R866" s="18"/>
      <c r="S866" s="10"/>
      <c r="T866" s="10"/>
      <c r="U866" s="13"/>
      <c r="V866" s="13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3"/>
      <c r="AL866" s="14"/>
      <c r="AM866" s="15"/>
      <c r="AN866" s="15"/>
      <c r="AO866" s="13"/>
      <c r="AP866" s="13"/>
      <c r="AQ866" s="16"/>
      <c r="AR866" s="10"/>
      <c r="AS866" s="10"/>
      <c r="AT866" s="10"/>
      <c r="AU866" s="10"/>
      <c r="AV866" s="11"/>
      <c r="AW866" s="11"/>
      <c r="AX866" s="10"/>
      <c r="AY866" s="11"/>
      <c r="AZ866" s="11"/>
      <c r="BA866" s="11"/>
      <c r="BB866" s="10"/>
      <c r="BC866" s="11"/>
      <c r="BD866" s="11"/>
      <c r="BE866" s="11"/>
      <c r="BF866" s="11"/>
      <c r="BG866" s="11"/>
      <c r="BH866" s="11"/>
      <c r="BI866" s="11"/>
      <c r="BJ866" s="11"/>
      <c r="BK866" s="11"/>
      <c r="BL866" s="11"/>
      <c r="BM866" s="11"/>
      <c r="BN866" s="11"/>
      <c r="BO866" s="11"/>
      <c r="BP866" s="11"/>
      <c r="BQ866" s="11"/>
      <c r="BR866" s="11"/>
      <c r="BS866" s="11"/>
      <c r="BT866" s="11"/>
      <c r="BU866" s="11"/>
      <c r="BV866" s="11"/>
      <c r="BW866" s="11"/>
      <c r="BX866" s="11"/>
      <c r="BY866" s="11"/>
      <c r="BZ866" s="11"/>
      <c r="CA866" s="11"/>
      <c r="CB866" s="11"/>
      <c r="CC866" s="17"/>
      <c r="CD866" s="17"/>
      <c r="CE866" s="11"/>
      <c r="CF866" s="13"/>
      <c r="CG866" s="13"/>
      <c r="CH866" s="13"/>
      <c r="CI866" s="13"/>
      <c r="CJ866" s="13"/>
    </row>
    <row r="867" spans="1:88" s="9" customFormat="1" x14ac:dyDescent="0.25">
      <c r="A867" s="10"/>
      <c r="B867" s="10"/>
      <c r="C867" s="10"/>
      <c r="D867" s="10"/>
      <c r="E867" s="11"/>
      <c r="F867" s="10"/>
      <c r="G867" s="10"/>
      <c r="H867" s="10"/>
      <c r="I867" s="10"/>
      <c r="J867" s="10"/>
      <c r="K867" s="12"/>
      <c r="L867" s="10"/>
      <c r="M867" s="10"/>
      <c r="N867" s="13"/>
      <c r="O867" s="10"/>
      <c r="P867" s="10"/>
      <c r="Q867" s="10"/>
      <c r="R867" s="18"/>
      <c r="S867" s="10"/>
      <c r="T867" s="10"/>
      <c r="U867" s="13"/>
      <c r="V867" s="13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3"/>
      <c r="AL867" s="14"/>
      <c r="AM867" s="15"/>
      <c r="AN867" s="15"/>
      <c r="AO867" s="13"/>
      <c r="AP867" s="13"/>
      <c r="AQ867" s="16"/>
      <c r="AR867" s="10"/>
      <c r="AS867" s="10"/>
      <c r="AT867" s="10"/>
      <c r="AU867" s="10"/>
      <c r="AV867" s="11"/>
      <c r="AW867" s="11"/>
      <c r="AX867" s="10"/>
      <c r="AY867" s="11"/>
      <c r="AZ867" s="11"/>
      <c r="BA867" s="11"/>
      <c r="BB867" s="10"/>
      <c r="BC867" s="11"/>
      <c r="BD867" s="11"/>
      <c r="BE867" s="11"/>
      <c r="BF867" s="11"/>
      <c r="BG867" s="11"/>
      <c r="BH867" s="11"/>
      <c r="BI867" s="11"/>
      <c r="BJ867" s="11"/>
      <c r="BK867" s="11"/>
      <c r="BL867" s="11"/>
      <c r="BM867" s="11"/>
      <c r="BN867" s="11"/>
      <c r="BO867" s="11"/>
      <c r="BP867" s="11"/>
      <c r="BQ867" s="11"/>
      <c r="BR867" s="11"/>
      <c r="BS867" s="11"/>
      <c r="BT867" s="11"/>
      <c r="BU867" s="11"/>
      <c r="BV867" s="11"/>
      <c r="BW867" s="11"/>
      <c r="BX867" s="11"/>
      <c r="BY867" s="11"/>
      <c r="BZ867" s="11"/>
      <c r="CA867" s="11"/>
      <c r="CB867" s="11"/>
      <c r="CC867" s="17"/>
      <c r="CD867" s="17"/>
      <c r="CE867" s="11"/>
      <c r="CF867" s="13"/>
      <c r="CG867" s="13"/>
      <c r="CH867" s="13"/>
      <c r="CI867" s="13"/>
      <c r="CJ867" s="13"/>
    </row>
    <row r="868" spans="1:88" s="9" customFormat="1" x14ac:dyDescent="0.25">
      <c r="A868" s="10"/>
      <c r="B868" s="10"/>
      <c r="C868" s="10"/>
      <c r="D868" s="10"/>
      <c r="E868" s="11"/>
      <c r="F868" s="10"/>
      <c r="G868" s="10"/>
      <c r="H868" s="10"/>
      <c r="I868" s="10"/>
      <c r="J868" s="10"/>
      <c r="K868" s="12"/>
      <c r="L868" s="10"/>
      <c r="M868" s="10"/>
      <c r="N868" s="13"/>
      <c r="O868" s="10"/>
      <c r="P868" s="10"/>
      <c r="Q868" s="10"/>
      <c r="R868" s="18"/>
      <c r="S868" s="10"/>
      <c r="T868" s="10"/>
      <c r="U868" s="13"/>
      <c r="V868" s="13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13"/>
      <c r="AL868" s="14"/>
      <c r="AM868" s="15"/>
      <c r="AN868" s="15"/>
      <c r="AO868" s="13"/>
      <c r="AP868" s="13"/>
      <c r="AQ868" s="16"/>
      <c r="AR868" s="10"/>
      <c r="AS868" s="10"/>
      <c r="AT868" s="10"/>
      <c r="AU868" s="10"/>
      <c r="AV868" s="11"/>
      <c r="AW868" s="11"/>
      <c r="AX868" s="10"/>
      <c r="AY868" s="11"/>
      <c r="AZ868" s="11"/>
      <c r="BA868" s="11"/>
      <c r="BB868" s="10"/>
      <c r="BC868" s="11"/>
      <c r="BD868" s="11"/>
      <c r="BE868" s="11"/>
      <c r="BF868" s="11"/>
      <c r="BG868" s="11"/>
      <c r="BH868" s="11"/>
      <c r="BI868" s="11"/>
      <c r="BJ868" s="11"/>
      <c r="BK868" s="11"/>
      <c r="BL868" s="11"/>
      <c r="BM868" s="11"/>
      <c r="BN868" s="11"/>
      <c r="BO868" s="11"/>
      <c r="BP868" s="11"/>
      <c r="BQ868" s="11"/>
      <c r="BR868" s="11"/>
      <c r="BS868" s="11"/>
      <c r="BT868" s="11"/>
      <c r="BU868" s="11"/>
      <c r="BV868" s="11"/>
      <c r="BW868" s="11"/>
      <c r="BX868" s="11"/>
      <c r="BY868" s="11"/>
      <c r="BZ868" s="11"/>
      <c r="CA868" s="11"/>
      <c r="CB868" s="11"/>
      <c r="CC868" s="17"/>
      <c r="CD868" s="17"/>
      <c r="CE868" s="11"/>
      <c r="CF868" s="13"/>
      <c r="CG868" s="13"/>
      <c r="CH868" s="13"/>
      <c r="CI868" s="13"/>
      <c r="CJ868" s="13"/>
    </row>
    <row r="869" spans="1:88" s="9" customFormat="1" x14ac:dyDescent="0.25">
      <c r="A869" s="10"/>
      <c r="B869" s="10"/>
      <c r="C869" s="10"/>
      <c r="D869" s="10"/>
      <c r="E869" s="11"/>
      <c r="F869" s="10"/>
      <c r="G869" s="10"/>
      <c r="H869" s="10"/>
      <c r="I869" s="10"/>
      <c r="J869" s="10"/>
      <c r="K869" s="12"/>
      <c r="L869" s="10"/>
      <c r="M869" s="10"/>
      <c r="N869" s="13"/>
      <c r="O869" s="10"/>
      <c r="P869" s="10"/>
      <c r="Q869" s="10"/>
      <c r="R869" s="18"/>
      <c r="S869" s="10"/>
      <c r="T869" s="10"/>
      <c r="U869" s="13"/>
      <c r="V869" s="13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3"/>
      <c r="AL869" s="14"/>
      <c r="AM869" s="15"/>
      <c r="AN869" s="15"/>
      <c r="AO869" s="13"/>
      <c r="AP869" s="13"/>
      <c r="AQ869" s="16"/>
      <c r="AR869" s="10"/>
      <c r="AS869" s="10"/>
      <c r="AT869" s="10"/>
      <c r="AU869" s="10"/>
      <c r="AV869" s="11"/>
      <c r="AW869" s="11"/>
      <c r="AX869" s="10"/>
      <c r="AY869" s="11"/>
      <c r="AZ869" s="11"/>
      <c r="BA869" s="11"/>
      <c r="BB869" s="10"/>
      <c r="BC869" s="11"/>
      <c r="BD869" s="11"/>
      <c r="BE869" s="11"/>
      <c r="BF869" s="11"/>
      <c r="BG869" s="11"/>
      <c r="BH869" s="11"/>
      <c r="BI869" s="11"/>
      <c r="BJ869" s="11"/>
      <c r="BK869" s="11"/>
      <c r="BL869" s="11"/>
      <c r="BM869" s="11"/>
      <c r="BN869" s="11"/>
      <c r="BO869" s="11"/>
      <c r="BP869" s="11"/>
      <c r="BQ869" s="11"/>
      <c r="BR869" s="11"/>
      <c r="BS869" s="11"/>
      <c r="BT869" s="11"/>
      <c r="BU869" s="11"/>
      <c r="BV869" s="11"/>
      <c r="BW869" s="11"/>
      <c r="BX869" s="11"/>
      <c r="BY869" s="11"/>
      <c r="BZ869" s="11"/>
      <c r="CA869" s="11"/>
      <c r="CB869" s="11"/>
      <c r="CC869" s="17"/>
      <c r="CD869" s="17"/>
      <c r="CE869" s="11"/>
      <c r="CF869" s="13"/>
      <c r="CG869" s="13"/>
      <c r="CH869" s="13"/>
      <c r="CI869" s="13"/>
      <c r="CJ869" s="13"/>
    </row>
    <row r="870" spans="1:88" s="9" customFormat="1" x14ac:dyDescent="0.25">
      <c r="A870" s="10"/>
      <c r="B870" s="10"/>
      <c r="C870" s="10"/>
      <c r="D870" s="10"/>
      <c r="E870" s="11"/>
      <c r="F870" s="10"/>
      <c r="G870" s="10"/>
      <c r="H870" s="10"/>
      <c r="I870" s="10"/>
      <c r="J870" s="10"/>
      <c r="K870" s="12"/>
      <c r="L870" s="10"/>
      <c r="M870" s="10"/>
      <c r="N870" s="13"/>
      <c r="O870" s="10"/>
      <c r="P870" s="10"/>
      <c r="Q870" s="10"/>
      <c r="R870" s="18"/>
      <c r="S870" s="10"/>
      <c r="T870" s="10"/>
      <c r="U870" s="13"/>
      <c r="V870" s="13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3"/>
      <c r="AL870" s="14"/>
      <c r="AM870" s="15"/>
      <c r="AN870" s="15"/>
      <c r="AO870" s="13"/>
      <c r="AP870" s="13"/>
      <c r="AQ870" s="16"/>
      <c r="AR870" s="10"/>
      <c r="AS870" s="10"/>
      <c r="AT870" s="10"/>
      <c r="AU870" s="10"/>
      <c r="AV870" s="11"/>
      <c r="AW870" s="11"/>
      <c r="AX870" s="10"/>
      <c r="AY870" s="11"/>
      <c r="AZ870" s="11"/>
      <c r="BA870" s="11"/>
      <c r="BB870" s="10"/>
      <c r="BC870" s="11"/>
      <c r="BD870" s="11"/>
      <c r="BE870" s="11"/>
      <c r="BF870" s="11"/>
      <c r="BG870" s="11"/>
      <c r="BH870" s="11"/>
      <c r="BI870" s="11"/>
      <c r="BJ870" s="11"/>
      <c r="BK870" s="11"/>
      <c r="BL870" s="11"/>
      <c r="BM870" s="11"/>
      <c r="BN870" s="11"/>
      <c r="BO870" s="11"/>
      <c r="BP870" s="11"/>
      <c r="BQ870" s="11"/>
      <c r="BR870" s="11"/>
      <c r="BS870" s="11"/>
      <c r="BT870" s="11"/>
      <c r="BU870" s="11"/>
      <c r="BV870" s="11"/>
      <c r="BW870" s="11"/>
      <c r="BX870" s="11"/>
      <c r="BY870" s="11"/>
      <c r="BZ870" s="11"/>
      <c r="CA870" s="11"/>
      <c r="CB870" s="11"/>
      <c r="CC870" s="17"/>
      <c r="CD870" s="17"/>
      <c r="CE870" s="11"/>
      <c r="CF870" s="13"/>
      <c r="CG870" s="13"/>
      <c r="CH870" s="13"/>
      <c r="CI870" s="13"/>
      <c r="CJ870" s="13"/>
    </row>
    <row r="871" spans="1:88" s="20" customFormat="1" ht="81" x14ac:dyDescent="0.25">
      <c r="N871" s="21"/>
      <c r="U871" s="20" t="s">
        <v>1703</v>
      </c>
      <c r="V871" s="20" t="s">
        <v>1704</v>
      </c>
      <c r="X871" s="20" t="s">
        <v>1705</v>
      </c>
      <c r="AK871" s="22" t="s">
        <v>1706</v>
      </c>
      <c r="AL871" s="23" t="s">
        <v>1707</v>
      </c>
      <c r="AM871" s="24"/>
      <c r="AO871" s="21"/>
      <c r="AP871" s="21"/>
      <c r="AS871" s="25"/>
      <c r="CC871" s="21"/>
      <c r="CD871" s="21"/>
      <c r="CF871" s="21"/>
      <c r="CG871" s="21"/>
      <c r="CH871" s="21"/>
      <c r="CI871" s="21"/>
      <c r="CJ871" s="21"/>
    </row>
    <row r="872" spans="1:88" ht="27" x14ac:dyDescent="0.25">
      <c r="E872" s="26" t="s">
        <v>1708</v>
      </c>
      <c r="P872" s="28" t="s">
        <v>1709</v>
      </c>
      <c r="W872" s="28" t="s">
        <v>1710</v>
      </c>
      <c r="X872" s="26" t="s">
        <v>1711</v>
      </c>
      <c r="Y872" s="26"/>
      <c r="Z872" s="26" t="s">
        <v>1712</v>
      </c>
      <c r="AA872" s="26" t="s">
        <v>2622</v>
      </c>
      <c r="AB872" s="26" t="s">
        <v>1713</v>
      </c>
      <c r="AC872" s="26"/>
      <c r="AD872" s="26" t="s">
        <v>1714</v>
      </c>
      <c r="AE872" s="26"/>
      <c r="AF872" s="26" t="s">
        <v>1715</v>
      </c>
      <c r="AG872" s="26" t="s">
        <v>1716</v>
      </c>
      <c r="AH872" s="26" t="s">
        <v>1717</v>
      </c>
      <c r="AM872" s="26" t="s">
        <v>1718</v>
      </c>
      <c r="AN872" s="26" t="s">
        <v>1719</v>
      </c>
      <c r="AS872" s="26" t="s">
        <v>1720</v>
      </c>
      <c r="AX872" s="26" t="s">
        <v>1721</v>
      </c>
      <c r="AY872" s="26" t="s">
        <v>1708</v>
      </c>
      <c r="AZ872" s="26" t="s">
        <v>1722</v>
      </c>
      <c r="BB872" s="26" t="s">
        <v>1721</v>
      </c>
      <c r="CE872" s="26" t="s">
        <v>1723</v>
      </c>
    </row>
  </sheetData>
  <mergeCells count="5">
    <mergeCell ref="A1:I1"/>
    <mergeCell ref="J1:T1"/>
    <mergeCell ref="U1:AL1"/>
    <mergeCell ref="AM1:AX1"/>
    <mergeCell ref="AY1:CJ1"/>
  </mergeCells>
  <dataValidations count="17">
    <dataValidation type="whole" allowBlank="1" showInputMessage="1" showErrorMessage="1" errorTitle="Atenção" error="Apenas são permitidas 3 casas numéricas, sem casas decimais" sqref="AQ3:AQ870" xr:uid="{0EDD5D7C-DE4B-4933-8EF0-75C2A3F21477}">
      <formula1>0</formula1>
      <formula2>999</formula2>
    </dataValidation>
    <dataValidation type="whole" allowBlank="1" showInputMessage="1" showErrorMessage="1" errorTitle="Validação" error="Valor inválido." sqref="BP3:CB870" xr:uid="{CBB4BBB3-5932-43F0-B046-0C3EF98E2312}">
      <formula1>1</formula1>
      <formula2>100000000</formula2>
    </dataValidation>
    <dataValidation type="whole" allowBlank="1" showInputMessage="1" showErrorMessage="1" errorTitle="Validação" error="Valor inválido" promptTitle="NIF" prompt="NIF" sqref="J3:J870" xr:uid="{4A0EB963-603E-4E28-B126-91B24EFF45BE}">
      <formula1>111111111</formula1>
      <formula2>999999999</formula2>
    </dataValidation>
    <dataValidation type="date" operator="lessThan" allowBlank="1" showInputMessage="1" showErrorMessage="1" errorTitle="Validação" error="A data de início do apoio tem de ser menor que a data de fim do apoio" promptTitle="Data de início do apoio" prompt="Data de início do apoio" sqref="AK3:AK870" xr:uid="{BADF5685-2375-4475-9AC3-348456042A76}">
      <formula1>AL3</formula1>
    </dataValidation>
    <dataValidation type="date" operator="greaterThan" allowBlank="1" showInputMessage="1" showErrorMessage="1" errorTitle="Validação " error="A data de fim do apoio tem de ser maior que a data de início do apoio" promptTitle="Data de fim do apoio" prompt="Data de fim do apoio" sqref="AL3:AL870" xr:uid="{A86AD189-B21D-4A2A-8E9B-424BB9C8A545}">
      <formula1>AK3</formula1>
    </dataValidation>
    <dataValidation allowBlank="1" showInputMessage="1" showErrorMessage="1" promptTitle="Nivel QNQ " prompt="Nivel QNQ " sqref="AD2:AE2" xr:uid="{F75BC458-154F-4321-87BF-86ACB1C0FA28}"/>
    <dataValidation type="list" allowBlank="1" showInputMessage="1" showErrorMessage="1" sqref="AN3:AN870" xr:uid="{EA76A78F-5F87-465C-BDA9-11E6E04A43FD}">
      <formula1>INDIRECT(AM3)</formula1>
    </dataValidation>
    <dataValidation type="whole" allowBlank="1" showInputMessage="1" showErrorMessage="1" errorTitle="Mesagem de erro" error="Valor inválido" promptTitle="NISS" prompt="NISS" sqref="K3:K870" xr:uid="{972F7D70-E77C-4DE5-9FEB-C0BB0DA3C1C4}">
      <formula1>11111111111</formula1>
      <formula2>99999999999</formula2>
    </dataValidation>
    <dataValidation type="date" operator="greaterThan" allowBlank="1" showInputMessage="1" showErrorMessage="1" errorTitle="Valor inválido" error="Não é uma data" promptTitle="Data de nascimento" prompt="Data de nascimento" sqref="N3:N870" xr:uid="{E5FE111F-1A96-496C-838E-703FF9DFB313}">
      <formula1>7306</formula1>
    </dataValidation>
    <dataValidation type="date" operator="greaterThan" allowBlank="1" showInputMessage="1" showErrorMessage="1" errorTitle="Valor inválido" error="Não é uma data" promptTitle="Data de início da participação" prompt="Data de início da participação" sqref="U3:V870" xr:uid="{0384D3D6-622B-48BA-99EB-D301E13F1823}">
      <formula1>7306</formula1>
    </dataValidation>
    <dataValidation type="date" operator="lessThan" allowBlank="1" showInputMessage="1" showErrorMessage="1" errorTitle="Validação" error="A data de início do apoio tem de ser menor que a data de fim do apoio" promptTitle="Data de início" prompt="Data de início" sqref="AO3:AO870" xr:uid="{F167BE6F-6944-4C26-BD53-30D05DFBCBDA}">
      <formula1>AP3</formula1>
    </dataValidation>
    <dataValidation type="date" operator="lessThan" allowBlank="1" showInputMessage="1" showErrorMessage="1" errorTitle="Validação" error="A data de início do apoio tem de ser menor que a data de fim do apoio" promptTitle="Data de fim" prompt="Data de fim" sqref="AP3:AP870" xr:uid="{5BB1BCAC-9242-4A38-A140-3CF9DBE92A78}">
      <formula1>AQ3</formula1>
    </dataValidation>
    <dataValidation type="date" operator="lessThan" allowBlank="1" showInputMessage="1" showErrorMessage="1" errorTitle="Validação" error="A data de início do apoio tem de ser menor que a data de fim do apoio" promptTitle="Data de entrada em processo RVCC" prompt="Data de entrada em processo RVCC" sqref="CF3:CF870" xr:uid="{63DAE5EC-0057-4E6C-9EF4-878B00E037A0}">
      <formula1>CG3</formula1>
    </dataValidation>
    <dataValidation type="date" operator="lessThan" allowBlank="1" showInputMessage="1" showErrorMessage="1" errorTitle="Validação" error="A data de início do apoio tem de ser menor que a data de fim do apoio" promptTitle="Data de certificação parcial esc" prompt="Data de certificação parcial esc" sqref="CG3:CG870" xr:uid="{9A04979C-9D72-4A75-8F8C-CE78E9288B3E}">
      <formula1>CH3</formula1>
    </dataValidation>
    <dataValidation type="date" operator="lessThan" allowBlank="1" showInputMessage="1" showErrorMessage="1" errorTitle="Validação" error="A data de início do apoio tem de ser menor que a data de fim do apoio" promptTitle="Data de certificação total esc" prompt="Data de certificação total esc" sqref="CH3:CH870" xr:uid="{8906C644-A88A-403C-ADE0-25B5542FEA5B}">
      <formula1>CI3</formula1>
    </dataValidation>
    <dataValidation type="date" operator="lessThan" allowBlank="1" showInputMessage="1" showErrorMessage="1" errorTitle="Validação" error="A data de início do apoio tem de ser menor que a data de fim do apoio" promptTitle="Data de certificação parcial pro" prompt="Data de certificação parcial pro" sqref="CI3:CI870" xr:uid="{84361734-483E-46C4-9064-BCEA2706BF95}">
      <formula1>CJ3</formula1>
    </dataValidation>
    <dataValidation type="date" operator="lessThan" allowBlank="1" showInputMessage="1" showErrorMessage="1" errorTitle="Validação" error="A data de início do apoio tem de ser menor que a data de fim do apoio" promptTitle="Data de certificação total prof" prompt="Data de certificação total prof" sqref="CJ3:CJ870" xr:uid="{DBCED4D4-0EBE-4B5C-89D4-472CFA4AFA4D}">
      <formula1>CK3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1A13EB0F-178A-4C1F-B7D6-C2AC76804901}">
          <x14:formula1>
            <xm:f>TD!$C$404:$C$518</xm:f>
          </x14:formula1>
          <xm:sqref>E3:E870 AY3:AY870</xm:sqref>
        </x14:dataValidation>
        <x14:dataValidation type="list" allowBlank="1" showInputMessage="1" showErrorMessage="1" xr:uid="{242816A8-BB6D-497F-A553-1AE017127725}">
          <x14:formula1>
            <xm:f>TD!$C$2:$C$4</xm:f>
          </x14:formula1>
          <xm:sqref>P3:P870</xm:sqref>
        </x14:dataValidation>
        <x14:dataValidation type="list" allowBlank="1" showInputMessage="1" showErrorMessage="1" xr:uid="{8346FDC5-2663-47EB-BD91-89DBFB2B095F}">
          <x14:formula1>
            <xm:f>TD!$C$7:$C$20</xm:f>
          </x14:formula1>
          <xm:sqref>W3:W870</xm:sqref>
        </x14:dataValidation>
        <x14:dataValidation type="list" allowBlank="1" showInputMessage="1" showErrorMessage="1" xr:uid="{CF297153-EFFE-4C29-8B03-A74FFC72FE6C}">
          <x14:formula1>
            <xm:f>TD!$C$25:$C$29</xm:f>
          </x14:formula1>
          <xm:sqref>X3:Y870</xm:sqref>
        </x14:dataValidation>
        <x14:dataValidation type="list" allowBlank="1" showInputMessage="1" showErrorMessage="1" xr:uid="{49FEA726-7069-4B9A-A8D3-A3C350F334CD}">
          <x14:formula1>
            <xm:f>TD!$C$32:$C$45</xm:f>
          </x14:formula1>
          <xm:sqref>Z3:Z870</xm:sqref>
        </x14:dataValidation>
        <x14:dataValidation type="list" allowBlank="1" showInputMessage="1" showErrorMessage="1" xr:uid="{63638536-8DC4-4ADC-B924-ACA49788C29D}">
          <x14:formula1>
            <xm:f>TD!$C$53:$C$63</xm:f>
          </x14:formula1>
          <xm:sqref>AB3:AC870</xm:sqref>
        </x14:dataValidation>
        <x14:dataValidation type="list" allowBlank="1" showInputMessage="1" showErrorMessage="1" xr:uid="{C0096829-570D-4DBF-9DE6-F853094031BE}">
          <x14:formula1>
            <xm:f>TD!$C$67:$C$75</xm:f>
          </x14:formula1>
          <xm:sqref>AD3:AE870</xm:sqref>
        </x14:dataValidation>
        <x14:dataValidation type="list" allowBlank="1" showInputMessage="1" showErrorMessage="1" xr:uid="{605ED5D6-DC2B-4020-82C5-A4C3AE1A6DFC}">
          <x14:formula1>
            <xm:f>TD!$C$78:$C$79</xm:f>
          </x14:formula1>
          <xm:sqref>AF3:AH870</xm:sqref>
        </x14:dataValidation>
        <x14:dataValidation type="list" allowBlank="1" showInputMessage="1" showErrorMessage="1" xr:uid="{37A648C7-F20D-4749-8B4B-FDC3A41E669C}">
          <x14:formula1>
            <xm:f>TD!$B$90:$C$90</xm:f>
          </x14:formula1>
          <xm:sqref>AM3:AM870</xm:sqref>
        </x14:dataValidation>
        <x14:dataValidation type="list" allowBlank="1" showInputMessage="1" showErrorMessage="1" xr:uid="{423E2564-8FD0-41A7-A08E-C1723254B35D}">
          <x14:formula1>
            <xm:f>TD!$C$155:$C$400</xm:f>
          </x14:formula1>
          <xm:sqref>AX3:AX870 BB3:BB870 Q3:Q870</xm:sqref>
        </x14:dataValidation>
        <x14:dataValidation type="list" allowBlank="1" showInputMessage="1" showErrorMessage="1" xr:uid="{17C0A0D9-C42C-417B-9978-46CD14A2D2FF}">
          <x14:formula1>
            <xm:f>TD!$C$522:$C$563</xm:f>
          </x14:formula1>
          <xm:sqref>AZ3:AZ870</xm:sqref>
        </x14:dataValidation>
        <x14:dataValidation type="list" allowBlank="1" showInputMessage="1" showErrorMessage="1" xr:uid="{BC8F3AC6-BD7F-4537-9E2B-7171ADC94E9D}">
          <x14:formula1>
            <xm:f>TD!$C$130:$C$151</xm:f>
          </x14:formula1>
          <xm:sqref>CE3:CE870</xm:sqref>
        </x14:dataValidation>
        <x14:dataValidation type="list" allowBlank="1" showInputMessage="1" showErrorMessage="1" xr:uid="{3E71A048-FCF6-449B-8CAF-EF75A1A5959B}">
          <x14:formula1>
            <xm:f>TD!$C$815:$C$2147</xm:f>
          </x14:formula1>
          <xm:sqref>AA3:AA870</xm:sqref>
        </x14:dataValidation>
        <x14:dataValidation type="list" allowBlank="1" showInputMessage="1" showErrorMessage="1" xr:uid="{F1F621C9-264E-4D5D-88D3-92519284D1E5}">
          <x14:formula1>
            <xm:f>TD!C2150:C2152</xm:f>
          </x14:formula1>
          <xm:sqref>M3:M870</xm:sqref>
        </x14:dataValidation>
        <x14:dataValidation type="list" allowBlank="1" showInputMessage="1" showErrorMessage="1" xr:uid="{28CD52D9-5250-478D-ADE2-E6C191A587C5}">
          <x14:formula1>
            <xm:f>TD!$C$124:$C$126</xm:f>
          </x14:formula1>
          <xm:sqref>AS3:AS870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B8C82-DF45-493F-A4E3-373175E18E0D}">
  <dimension ref="A1:C2152"/>
  <sheetViews>
    <sheetView topLeftCell="B151" workbookViewId="0">
      <selection activeCell="A812" sqref="A566:B812"/>
    </sheetView>
  </sheetViews>
  <sheetFormatPr defaultColWidth="13.28515625" defaultRowHeight="15" x14ac:dyDescent="0.25"/>
  <cols>
    <col min="1" max="1" width="4.28515625" style="1" customWidth="1"/>
    <col min="2" max="2" width="183.140625" customWidth="1"/>
    <col min="3" max="3" width="188.140625" bestFit="1" customWidth="1"/>
  </cols>
  <sheetData>
    <row r="1" spans="1:3" s="30" customFormat="1" x14ac:dyDescent="0.25">
      <c r="A1" s="29" t="s">
        <v>0</v>
      </c>
      <c r="C1" s="30" t="s">
        <v>1</v>
      </c>
    </row>
    <row r="2" spans="1:3" x14ac:dyDescent="0.25">
      <c r="A2" s="1">
        <v>1</v>
      </c>
      <c r="B2" t="s">
        <v>2</v>
      </c>
      <c r="C2" t="s">
        <v>3</v>
      </c>
    </row>
    <row r="3" spans="1:3" x14ac:dyDescent="0.25">
      <c r="A3" s="1">
        <v>2</v>
      </c>
      <c r="B3" t="s">
        <v>4</v>
      </c>
      <c r="C3" t="s">
        <v>5</v>
      </c>
    </row>
    <row r="4" spans="1:3" x14ac:dyDescent="0.25">
      <c r="A4" s="1">
        <v>3</v>
      </c>
      <c r="B4" t="s">
        <v>6</v>
      </c>
      <c r="C4" t="s">
        <v>7</v>
      </c>
    </row>
    <row r="6" spans="1:3" x14ac:dyDescent="0.25">
      <c r="A6" s="29" t="s">
        <v>8</v>
      </c>
      <c r="B6" s="30"/>
      <c r="C6" s="30" t="s">
        <v>1</v>
      </c>
    </row>
    <row r="7" spans="1:3" x14ac:dyDescent="0.25">
      <c r="A7" s="1">
        <v>1</v>
      </c>
      <c r="B7" t="s">
        <v>9</v>
      </c>
      <c r="C7" t="s">
        <v>10</v>
      </c>
    </row>
    <row r="8" spans="1:3" x14ac:dyDescent="0.25">
      <c r="A8" s="1">
        <v>2</v>
      </c>
      <c r="B8" t="s">
        <v>11</v>
      </c>
      <c r="C8" t="s">
        <v>12</v>
      </c>
    </row>
    <row r="9" spans="1:3" x14ac:dyDescent="0.25">
      <c r="A9" s="1">
        <v>3</v>
      </c>
      <c r="B9" t="s">
        <v>13</v>
      </c>
      <c r="C9" t="s">
        <v>14</v>
      </c>
    </row>
    <row r="10" spans="1:3" x14ac:dyDescent="0.25">
      <c r="A10" s="1">
        <v>4</v>
      </c>
      <c r="B10" t="s">
        <v>15</v>
      </c>
      <c r="C10" t="s">
        <v>16</v>
      </c>
    </row>
    <row r="11" spans="1:3" x14ac:dyDescent="0.25">
      <c r="A11" s="1">
        <v>5</v>
      </c>
      <c r="B11" t="s">
        <v>17</v>
      </c>
      <c r="C11" t="s">
        <v>18</v>
      </c>
    </row>
    <row r="12" spans="1:3" x14ac:dyDescent="0.25">
      <c r="A12" s="1">
        <v>6</v>
      </c>
      <c r="B12" t="s">
        <v>19</v>
      </c>
      <c r="C12" t="s">
        <v>20</v>
      </c>
    </row>
    <row r="13" spans="1:3" x14ac:dyDescent="0.25">
      <c r="A13" s="1">
        <v>7</v>
      </c>
      <c r="B13" t="s">
        <v>21</v>
      </c>
      <c r="C13" t="s">
        <v>22</v>
      </c>
    </row>
    <row r="14" spans="1:3" x14ac:dyDescent="0.25">
      <c r="A14" s="1">
        <v>8</v>
      </c>
      <c r="B14" t="s">
        <v>23</v>
      </c>
      <c r="C14" t="s">
        <v>24</v>
      </c>
    </row>
    <row r="15" spans="1:3" x14ac:dyDescent="0.25">
      <c r="A15" s="1">
        <v>9</v>
      </c>
      <c r="B15" t="s">
        <v>25</v>
      </c>
      <c r="C15" t="s">
        <v>26</v>
      </c>
    </row>
    <row r="16" spans="1:3" x14ac:dyDescent="0.25">
      <c r="A16" s="1">
        <v>11</v>
      </c>
      <c r="B16" t="s">
        <v>27</v>
      </c>
      <c r="C16" t="s">
        <v>28</v>
      </c>
    </row>
    <row r="17" spans="1:3" x14ac:dyDescent="0.25">
      <c r="A17" s="1">
        <v>12</v>
      </c>
      <c r="B17" t="s">
        <v>29</v>
      </c>
      <c r="C17" t="s">
        <v>30</v>
      </c>
    </row>
    <row r="18" spans="1:3" x14ac:dyDescent="0.25">
      <c r="A18" s="1">
        <v>13</v>
      </c>
      <c r="B18" t="s">
        <v>31</v>
      </c>
      <c r="C18" t="s">
        <v>32</v>
      </c>
    </row>
    <row r="19" spans="1:3" x14ac:dyDescent="0.25">
      <c r="A19" s="1">
        <v>16</v>
      </c>
      <c r="B19" t="s">
        <v>37</v>
      </c>
      <c r="C19" t="s">
        <v>38</v>
      </c>
    </row>
    <row r="20" spans="1:3" x14ac:dyDescent="0.25">
      <c r="A20" s="1">
        <v>17</v>
      </c>
      <c r="B20" t="s">
        <v>39</v>
      </c>
      <c r="C20" t="s">
        <v>40</v>
      </c>
    </row>
    <row r="21" spans="1:3" x14ac:dyDescent="0.25">
      <c r="A21" s="1">
        <v>14</v>
      </c>
      <c r="B21" t="s">
        <v>33</v>
      </c>
      <c r="C21" t="s">
        <v>34</v>
      </c>
    </row>
    <row r="22" spans="1:3" x14ac:dyDescent="0.25">
      <c r="A22" s="1">
        <v>15</v>
      </c>
      <c r="B22" t="s">
        <v>35</v>
      </c>
      <c r="C22" t="s">
        <v>36</v>
      </c>
    </row>
    <row r="24" spans="1:3" x14ac:dyDescent="0.25">
      <c r="A24" s="29" t="s">
        <v>41</v>
      </c>
      <c r="B24" s="30"/>
      <c r="C24" s="30" t="s">
        <v>1</v>
      </c>
    </row>
    <row r="25" spans="1:3" x14ac:dyDescent="0.25">
      <c r="A25" s="1">
        <v>2</v>
      </c>
      <c r="B25" t="s">
        <v>42</v>
      </c>
      <c r="C25" t="s">
        <v>43</v>
      </c>
    </row>
    <row r="26" spans="1:3" x14ac:dyDescent="0.25">
      <c r="A26" s="1">
        <v>3</v>
      </c>
      <c r="B26" t="s">
        <v>44</v>
      </c>
      <c r="C26" t="s">
        <v>45</v>
      </c>
    </row>
    <row r="27" spans="1:3" x14ac:dyDescent="0.25">
      <c r="A27" s="1">
        <v>4</v>
      </c>
      <c r="B27" t="s">
        <v>46</v>
      </c>
      <c r="C27" t="s">
        <v>47</v>
      </c>
    </row>
    <row r="28" spans="1:3" x14ac:dyDescent="0.25">
      <c r="A28" s="1">
        <v>5</v>
      </c>
      <c r="B28" t="s">
        <v>48</v>
      </c>
      <c r="C28" t="s">
        <v>49</v>
      </c>
    </row>
    <row r="29" spans="1:3" x14ac:dyDescent="0.25">
      <c r="A29" s="1">
        <v>6</v>
      </c>
      <c r="B29" t="s">
        <v>50</v>
      </c>
      <c r="C29" t="s">
        <v>51</v>
      </c>
    </row>
    <row r="31" spans="1:3" x14ac:dyDescent="0.25">
      <c r="A31" s="29" t="s">
        <v>52</v>
      </c>
      <c r="B31" s="30"/>
      <c r="C31" s="30" t="s">
        <v>1</v>
      </c>
    </row>
    <row r="32" spans="1:3" x14ac:dyDescent="0.25">
      <c r="A32" s="1">
        <v>1</v>
      </c>
      <c r="B32" t="s">
        <v>53</v>
      </c>
      <c r="C32" t="s">
        <v>54</v>
      </c>
    </row>
    <row r="33" spans="1:3" x14ac:dyDescent="0.25">
      <c r="A33" s="1">
        <v>2</v>
      </c>
      <c r="B33" t="s">
        <v>55</v>
      </c>
      <c r="C33" t="s">
        <v>56</v>
      </c>
    </row>
    <row r="34" spans="1:3" x14ac:dyDescent="0.25">
      <c r="A34" s="1">
        <v>3</v>
      </c>
      <c r="B34" t="s">
        <v>57</v>
      </c>
      <c r="C34" t="s">
        <v>58</v>
      </c>
    </row>
    <row r="35" spans="1:3" x14ac:dyDescent="0.25">
      <c r="A35" s="1">
        <v>4</v>
      </c>
      <c r="B35" t="s">
        <v>59</v>
      </c>
      <c r="C35" t="s">
        <v>60</v>
      </c>
    </row>
    <row r="36" spans="1:3" x14ac:dyDescent="0.25">
      <c r="A36" s="1">
        <v>5</v>
      </c>
      <c r="B36" t="s">
        <v>61</v>
      </c>
      <c r="C36" t="s">
        <v>62</v>
      </c>
    </row>
    <row r="37" spans="1:3" x14ac:dyDescent="0.25">
      <c r="A37" s="1">
        <v>6</v>
      </c>
      <c r="B37" t="s">
        <v>63</v>
      </c>
      <c r="C37" t="s">
        <v>64</v>
      </c>
    </row>
    <row r="38" spans="1:3" x14ac:dyDescent="0.25">
      <c r="A38" s="1">
        <v>7</v>
      </c>
      <c r="B38" t="s">
        <v>65</v>
      </c>
      <c r="C38" t="s">
        <v>66</v>
      </c>
    </row>
    <row r="39" spans="1:3" x14ac:dyDescent="0.25">
      <c r="A39" s="1">
        <v>8</v>
      </c>
      <c r="B39" t="s">
        <v>67</v>
      </c>
      <c r="C39" t="s">
        <v>68</v>
      </c>
    </row>
    <row r="40" spans="1:3" x14ac:dyDescent="0.25">
      <c r="A40" s="1">
        <v>10</v>
      </c>
      <c r="B40" t="s">
        <v>71</v>
      </c>
      <c r="C40" t="s">
        <v>72</v>
      </c>
    </row>
    <row r="41" spans="1:3" x14ac:dyDescent="0.25">
      <c r="A41" s="1">
        <v>11</v>
      </c>
      <c r="B41" t="s">
        <v>73</v>
      </c>
      <c r="C41" t="s">
        <v>74</v>
      </c>
    </row>
    <row r="42" spans="1:3" x14ac:dyDescent="0.25">
      <c r="A42" s="1">
        <v>16</v>
      </c>
      <c r="B42" t="s">
        <v>221</v>
      </c>
      <c r="C42" t="s">
        <v>3510</v>
      </c>
    </row>
    <row r="43" spans="1:3" x14ac:dyDescent="0.25">
      <c r="A43" s="1">
        <v>17</v>
      </c>
      <c r="B43" t="s">
        <v>83</v>
      </c>
      <c r="C43" t="s">
        <v>84</v>
      </c>
    </row>
    <row r="44" spans="1:3" x14ac:dyDescent="0.25">
      <c r="A44" s="1">
        <v>18</v>
      </c>
      <c r="B44" t="s">
        <v>85</v>
      </c>
      <c r="C44" t="s">
        <v>86</v>
      </c>
    </row>
    <row r="45" spans="1:3" x14ac:dyDescent="0.25">
      <c r="A45" s="1">
        <v>19</v>
      </c>
      <c r="B45" t="s">
        <v>87</v>
      </c>
      <c r="C45" t="s">
        <v>88</v>
      </c>
    </row>
    <row r="46" spans="1:3" x14ac:dyDescent="0.25">
      <c r="A46" s="1">
        <v>9</v>
      </c>
      <c r="B46" t="s">
        <v>69</v>
      </c>
      <c r="C46" t="s">
        <v>70</v>
      </c>
    </row>
    <row r="47" spans="1:3" x14ac:dyDescent="0.25">
      <c r="A47" s="1">
        <v>12</v>
      </c>
      <c r="B47" t="s">
        <v>75</v>
      </c>
      <c r="C47" t="s">
        <v>76</v>
      </c>
    </row>
    <row r="48" spans="1:3" x14ac:dyDescent="0.25">
      <c r="A48" s="1">
        <v>13</v>
      </c>
      <c r="B48" t="s">
        <v>77</v>
      </c>
      <c r="C48" t="s">
        <v>78</v>
      </c>
    </row>
    <row r="49" spans="1:3" x14ac:dyDescent="0.25">
      <c r="A49" s="1">
        <v>14</v>
      </c>
      <c r="B49" t="s">
        <v>79</v>
      </c>
      <c r="C49" t="s">
        <v>80</v>
      </c>
    </row>
    <row r="50" spans="1:3" x14ac:dyDescent="0.25">
      <c r="A50" s="1">
        <v>15</v>
      </c>
      <c r="B50" t="s">
        <v>81</v>
      </c>
      <c r="C50" t="s">
        <v>82</v>
      </c>
    </row>
    <row r="52" spans="1:3" x14ac:dyDescent="0.25">
      <c r="A52" s="29" t="s">
        <v>89</v>
      </c>
      <c r="B52" s="30"/>
      <c r="C52" s="30" t="s">
        <v>1</v>
      </c>
    </row>
    <row r="53" spans="1:3" x14ac:dyDescent="0.25">
      <c r="A53" s="1">
        <v>9</v>
      </c>
      <c r="B53" t="s">
        <v>105</v>
      </c>
      <c r="C53" t="s">
        <v>106</v>
      </c>
    </row>
    <row r="54" spans="1:3" x14ac:dyDescent="0.25">
      <c r="A54" s="1">
        <v>10</v>
      </c>
      <c r="B54" t="s">
        <v>107</v>
      </c>
      <c r="C54" t="s">
        <v>108</v>
      </c>
    </row>
    <row r="55" spans="1:3" x14ac:dyDescent="0.25">
      <c r="A55" s="1">
        <v>11</v>
      </c>
      <c r="B55" t="s">
        <v>109</v>
      </c>
      <c r="C55" t="s">
        <v>110</v>
      </c>
    </row>
    <row r="56" spans="1:3" x14ac:dyDescent="0.25">
      <c r="A56" s="1">
        <v>1</v>
      </c>
      <c r="B56" t="s">
        <v>90</v>
      </c>
      <c r="C56" t="s">
        <v>91</v>
      </c>
    </row>
    <row r="57" spans="1:3" x14ac:dyDescent="0.25">
      <c r="A57" s="1">
        <v>2</v>
      </c>
      <c r="B57" t="s">
        <v>92</v>
      </c>
      <c r="C57" t="s">
        <v>93</v>
      </c>
    </row>
    <row r="58" spans="1:3" x14ac:dyDescent="0.25">
      <c r="A58" s="1">
        <v>3</v>
      </c>
      <c r="B58" t="s">
        <v>94</v>
      </c>
      <c r="C58" t="s">
        <v>95</v>
      </c>
    </row>
    <row r="59" spans="1:3" x14ac:dyDescent="0.25">
      <c r="A59" s="1">
        <v>4</v>
      </c>
      <c r="B59" t="s">
        <v>96</v>
      </c>
      <c r="C59" t="s">
        <v>97</v>
      </c>
    </row>
    <row r="60" spans="1:3" x14ac:dyDescent="0.25">
      <c r="A60" s="1">
        <v>5</v>
      </c>
      <c r="B60" t="s">
        <v>98</v>
      </c>
      <c r="C60" t="s">
        <v>2623</v>
      </c>
    </row>
    <row r="61" spans="1:3" x14ac:dyDescent="0.25">
      <c r="A61" s="1">
        <v>6</v>
      </c>
      <c r="B61" t="s">
        <v>99</v>
      </c>
      <c r="C61" t="s">
        <v>100</v>
      </c>
    </row>
    <row r="62" spans="1:3" x14ac:dyDescent="0.25">
      <c r="A62" s="1">
        <v>7</v>
      </c>
      <c r="B62" t="s">
        <v>101</v>
      </c>
      <c r="C62" t="s">
        <v>102</v>
      </c>
    </row>
    <row r="63" spans="1:3" x14ac:dyDescent="0.25">
      <c r="A63" s="1">
        <v>8</v>
      </c>
      <c r="B63" t="s">
        <v>103</v>
      </c>
      <c r="C63" t="s">
        <v>104</v>
      </c>
    </row>
    <row r="66" spans="1:3" x14ac:dyDescent="0.25">
      <c r="A66" s="29" t="s">
        <v>111</v>
      </c>
      <c r="B66" s="30"/>
      <c r="C66" s="30" t="s">
        <v>1</v>
      </c>
    </row>
    <row r="67" spans="1:3" x14ac:dyDescent="0.25">
      <c r="A67" s="1">
        <v>1</v>
      </c>
      <c r="B67" t="s">
        <v>112</v>
      </c>
      <c r="C67" t="s">
        <v>113</v>
      </c>
    </row>
    <row r="68" spans="1:3" x14ac:dyDescent="0.25">
      <c r="A68" s="1">
        <v>2</v>
      </c>
      <c r="B68" t="s">
        <v>114</v>
      </c>
      <c r="C68" t="s">
        <v>115</v>
      </c>
    </row>
    <row r="69" spans="1:3" x14ac:dyDescent="0.25">
      <c r="A69" s="1">
        <v>3</v>
      </c>
      <c r="B69" t="s">
        <v>116</v>
      </c>
      <c r="C69" t="s">
        <v>117</v>
      </c>
    </row>
    <row r="70" spans="1:3" x14ac:dyDescent="0.25">
      <c r="A70" s="1">
        <v>4</v>
      </c>
      <c r="B70" t="s">
        <v>118</v>
      </c>
      <c r="C70" t="s">
        <v>119</v>
      </c>
    </row>
    <row r="71" spans="1:3" x14ac:dyDescent="0.25">
      <c r="A71" s="1">
        <v>5</v>
      </c>
      <c r="B71" t="s">
        <v>120</v>
      </c>
      <c r="C71" t="s">
        <v>121</v>
      </c>
    </row>
    <row r="72" spans="1:3" x14ac:dyDescent="0.25">
      <c r="A72" s="1">
        <v>6</v>
      </c>
      <c r="B72" t="s">
        <v>122</v>
      </c>
      <c r="C72" t="s">
        <v>123</v>
      </c>
    </row>
    <row r="73" spans="1:3" x14ac:dyDescent="0.25">
      <c r="A73" s="1">
        <v>7</v>
      </c>
      <c r="B73" t="s">
        <v>124</v>
      </c>
      <c r="C73" t="s">
        <v>125</v>
      </c>
    </row>
    <row r="74" spans="1:3" x14ac:dyDescent="0.25">
      <c r="A74" s="1">
        <v>8</v>
      </c>
      <c r="B74" t="s">
        <v>126</v>
      </c>
      <c r="C74" t="s">
        <v>127</v>
      </c>
    </row>
    <row r="75" spans="1:3" x14ac:dyDescent="0.25">
      <c r="A75" s="1">
        <v>9</v>
      </c>
      <c r="B75" t="s">
        <v>128</v>
      </c>
      <c r="C75" t="s">
        <v>129</v>
      </c>
    </row>
    <row r="77" spans="1:3" x14ac:dyDescent="0.25">
      <c r="A77" s="29" t="s">
        <v>130</v>
      </c>
      <c r="B77" s="30"/>
      <c r="C77" s="30" t="s">
        <v>1</v>
      </c>
    </row>
    <row r="78" spans="1:3" x14ac:dyDescent="0.25">
      <c r="A78" s="1">
        <v>1</v>
      </c>
      <c r="B78" t="s">
        <v>131</v>
      </c>
      <c r="C78" t="s">
        <v>132</v>
      </c>
    </row>
    <row r="79" spans="1:3" x14ac:dyDescent="0.25">
      <c r="A79" s="1">
        <v>2</v>
      </c>
      <c r="B79" t="s">
        <v>133</v>
      </c>
      <c r="C79" t="s">
        <v>134</v>
      </c>
    </row>
    <row r="81" spans="1:3" x14ac:dyDescent="0.25">
      <c r="A81" s="29" t="s">
        <v>135</v>
      </c>
      <c r="B81" s="30"/>
      <c r="C81" s="30" t="s">
        <v>1</v>
      </c>
    </row>
    <row r="82" spans="1:3" x14ac:dyDescent="0.25">
      <c r="A82" s="1">
        <v>1</v>
      </c>
      <c r="B82" t="s">
        <v>131</v>
      </c>
      <c r="C82" t="s">
        <v>132</v>
      </c>
    </row>
    <row r="83" spans="1:3" x14ac:dyDescent="0.25">
      <c r="A83" s="1">
        <v>2</v>
      </c>
      <c r="B83" t="s">
        <v>133</v>
      </c>
      <c r="C83" t="s">
        <v>134</v>
      </c>
    </row>
    <row r="85" spans="1:3" x14ac:dyDescent="0.25">
      <c r="A85" s="29" t="s">
        <v>136</v>
      </c>
      <c r="B85" s="30"/>
      <c r="C85" s="30" t="s">
        <v>1</v>
      </c>
    </row>
    <row r="86" spans="1:3" x14ac:dyDescent="0.25">
      <c r="A86" s="1">
        <v>1</v>
      </c>
      <c r="B86" t="s">
        <v>131</v>
      </c>
      <c r="C86" t="s">
        <v>132</v>
      </c>
    </row>
    <row r="87" spans="1:3" x14ac:dyDescent="0.25">
      <c r="A87" s="1">
        <v>2</v>
      </c>
      <c r="B87" t="s">
        <v>133</v>
      </c>
      <c r="C87" t="s">
        <v>134</v>
      </c>
    </row>
    <row r="89" spans="1:3" x14ac:dyDescent="0.25">
      <c r="A89" s="29"/>
      <c r="B89" s="30" t="s">
        <v>137</v>
      </c>
      <c r="C89" s="30"/>
    </row>
    <row r="90" spans="1:3" x14ac:dyDescent="0.25">
      <c r="A90" s="29"/>
      <c r="B90" s="31" t="s">
        <v>138</v>
      </c>
      <c r="C90" s="32" t="s">
        <v>139</v>
      </c>
    </row>
    <row r="91" spans="1:3" x14ac:dyDescent="0.25">
      <c r="B91" s="19" t="s">
        <v>140</v>
      </c>
      <c r="C91" s="19" t="s">
        <v>141</v>
      </c>
    </row>
    <row r="92" spans="1:3" x14ac:dyDescent="0.25">
      <c r="B92" s="19" t="s">
        <v>142</v>
      </c>
      <c r="C92" s="19" t="s">
        <v>143</v>
      </c>
    </row>
    <row r="93" spans="1:3" x14ac:dyDescent="0.25">
      <c r="B93" s="19" t="s">
        <v>144</v>
      </c>
      <c r="C93" s="19" t="s">
        <v>145</v>
      </c>
    </row>
    <row r="94" spans="1:3" x14ac:dyDescent="0.25">
      <c r="B94" s="19" t="s">
        <v>146</v>
      </c>
      <c r="C94" s="19" t="s">
        <v>147</v>
      </c>
    </row>
    <row r="95" spans="1:3" x14ac:dyDescent="0.25">
      <c r="B95" s="19" t="s">
        <v>148</v>
      </c>
      <c r="C95" s="19" t="s">
        <v>149</v>
      </c>
    </row>
    <row r="96" spans="1:3" x14ac:dyDescent="0.25">
      <c r="B96" s="19" t="s">
        <v>150</v>
      </c>
      <c r="C96" s="19"/>
    </row>
    <row r="97" spans="2:3" x14ac:dyDescent="0.25">
      <c r="B97" s="19" t="s">
        <v>151</v>
      </c>
      <c r="C97" s="19"/>
    </row>
    <row r="98" spans="2:3" x14ac:dyDescent="0.25">
      <c r="B98" s="19" t="s">
        <v>152</v>
      </c>
      <c r="C98" s="19"/>
    </row>
    <row r="99" spans="2:3" x14ac:dyDescent="0.25">
      <c r="B99" s="19" t="s">
        <v>153</v>
      </c>
      <c r="C99" s="19"/>
    </row>
    <row r="100" spans="2:3" x14ac:dyDescent="0.25">
      <c r="B100" s="19" t="s">
        <v>154</v>
      </c>
    </row>
    <row r="101" spans="2:3" x14ac:dyDescent="0.25">
      <c r="B101" s="19" t="s">
        <v>155</v>
      </c>
    </row>
    <row r="102" spans="2:3" x14ac:dyDescent="0.25">
      <c r="B102" s="19" t="s">
        <v>156</v>
      </c>
    </row>
    <row r="103" spans="2:3" x14ac:dyDescent="0.25">
      <c r="B103" s="19" t="s">
        <v>157</v>
      </c>
    </row>
    <row r="104" spans="2:3" x14ac:dyDescent="0.25">
      <c r="B104" s="19" t="s">
        <v>158</v>
      </c>
    </row>
    <row r="105" spans="2:3" x14ac:dyDescent="0.25">
      <c r="B105" s="19" t="s">
        <v>159</v>
      </c>
    </row>
    <row r="106" spans="2:3" x14ac:dyDescent="0.25">
      <c r="B106" s="19" t="s">
        <v>160</v>
      </c>
    </row>
    <row r="107" spans="2:3" x14ac:dyDescent="0.25">
      <c r="B107" s="19" t="s">
        <v>161</v>
      </c>
    </row>
    <row r="108" spans="2:3" x14ac:dyDescent="0.25">
      <c r="B108" s="19" t="s">
        <v>162</v>
      </c>
    </row>
    <row r="109" spans="2:3" x14ac:dyDescent="0.25">
      <c r="B109" s="19" t="s">
        <v>163</v>
      </c>
    </row>
    <row r="110" spans="2:3" x14ac:dyDescent="0.25">
      <c r="B110" s="19" t="s">
        <v>164</v>
      </c>
    </row>
    <row r="111" spans="2:3" x14ac:dyDescent="0.25">
      <c r="B111" s="19" t="s">
        <v>165</v>
      </c>
    </row>
    <row r="112" spans="2:3" x14ac:dyDescent="0.25">
      <c r="B112" s="19" t="s">
        <v>166</v>
      </c>
    </row>
    <row r="113" spans="1:3" x14ac:dyDescent="0.25">
      <c r="B113" s="19" t="s">
        <v>167</v>
      </c>
    </row>
    <row r="114" spans="1:3" x14ac:dyDescent="0.25">
      <c r="B114" s="19" t="s">
        <v>168</v>
      </c>
    </row>
    <row r="115" spans="1:3" x14ac:dyDescent="0.25">
      <c r="B115" s="19" t="s">
        <v>169</v>
      </c>
    </row>
    <row r="116" spans="1:3" x14ac:dyDescent="0.25">
      <c r="B116" s="19" t="s">
        <v>170</v>
      </c>
    </row>
    <row r="117" spans="1:3" x14ac:dyDescent="0.25">
      <c r="B117" s="19" t="s">
        <v>171</v>
      </c>
    </row>
    <row r="118" spans="1:3" x14ac:dyDescent="0.25">
      <c r="B118" s="19" t="s">
        <v>172</v>
      </c>
    </row>
    <row r="119" spans="1:3" x14ac:dyDescent="0.25">
      <c r="B119" s="19" t="s">
        <v>173</v>
      </c>
    </row>
    <row r="120" spans="1:3" x14ac:dyDescent="0.25">
      <c r="B120" s="19" t="s">
        <v>174</v>
      </c>
    </row>
    <row r="123" spans="1:3" x14ac:dyDescent="0.25">
      <c r="A123" s="1" t="s">
        <v>175</v>
      </c>
      <c r="C123" t="s">
        <v>1</v>
      </c>
    </row>
    <row r="124" spans="1:3" x14ac:dyDescent="0.25">
      <c r="A124" s="1">
        <v>1</v>
      </c>
      <c r="B124" t="s">
        <v>176</v>
      </c>
      <c r="C124" t="s">
        <v>177</v>
      </c>
    </row>
    <row r="125" spans="1:3" x14ac:dyDescent="0.25">
      <c r="A125" s="1">
        <v>3</v>
      </c>
      <c r="B125" t="s">
        <v>180</v>
      </c>
      <c r="C125" t="s">
        <v>181</v>
      </c>
    </row>
    <row r="126" spans="1:3" x14ac:dyDescent="0.25">
      <c r="A126" s="1">
        <v>4</v>
      </c>
      <c r="B126" t="s">
        <v>182</v>
      </c>
      <c r="C126" t="s">
        <v>183</v>
      </c>
    </row>
    <row r="127" spans="1:3" x14ac:dyDescent="0.25">
      <c r="A127" s="1">
        <v>2</v>
      </c>
      <c r="B127" t="s">
        <v>178</v>
      </c>
      <c r="C127" t="s">
        <v>179</v>
      </c>
    </row>
    <row r="129" spans="1:3" x14ac:dyDescent="0.25">
      <c r="A129" s="1" t="s">
        <v>184</v>
      </c>
      <c r="C129" t="s">
        <v>1</v>
      </c>
    </row>
    <row r="130" spans="1:3" x14ac:dyDescent="0.25">
      <c r="A130" s="1">
        <v>1</v>
      </c>
      <c r="B130" t="s">
        <v>185</v>
      </c>
      <c r="C130" t="s">
        <v>186</v>
      </c>
    </row>
    <row r="131" spans="1:3" x14ac:dyDescent="0.25">
      <c r="A131" s="1">
        <v>2</v>
      </c>
      <c r="B131" t="s">
        <v>187</v>
      </c>
      <c r="C131" t="s">
        <v>188</v>
      </c>
    </row>
    <row r="132" spans="1:3" x14ac:dyDescent="0.25">
      <c r="A132" s="1">
        <v>3</v>
      </c>
      <c r="B132" t="s">
        <v>189</v>
      </c>
      <c r="C132" t="s">
        <v>190</v>
      </c>
    </row>
    <row r="133" spans="1:3" x14ac:dyDescent="0.25">
      <c r="A133" s="1">
        <v>4</v>
      </c>
      <c r="B133" t="s">
        <v>191</v>
      </c>
      <c r="C133" t="s">
        <v>192</v>
      </c>
    </row>
    <row r="134" spans="1:3" x14ac:dyDescent="0.25">
      <c r="A134" s="1">
        <v>5</v>
      </c>
      <c r="B134" t="s">
        <v>193</v>
      </c>
      <c r="C134" t="s">
        <v>194</v>
      </c>
    </row>
    <row r="135" spans="1:3" x14ac:dyDescent="0.25">
      <c r="A135" s="1">
        <v>6</v>
      </c>
      <c r="B135" t="s">
        <v>195</v>
      </c>
      <c r="C135" t="s">
        <v>196</v>
      </c>
    </row>
    <row r="136" spans="1:3" x14ac:dyDescent="0.25">
      <c r="A136" s="1">
        <v>7</v>
      </c>
      <c r="B136" t="s">
        <v>197</v>
      </c>
      <c r="C136" t="s">
        <v>198</v>
      </c>
    </row>
    <row r="137" spans="1:3" x14ac:dyDescent="0.25">
      <c r="A137" s="1">
        <v>8</v>
      </c>
      <c r="B137" t="s">
        <v>199</v>
      </c>
      <c r="C137" t="s">
        <v>200</v>
      </c>
    </row>
    <row r="138" spans="1:3" x14ac:dyDescent="0.25">
      <c r="A138" s="1">
        <v>9</v>
      </c>
      <c r="B138" t="s">
        <v>201</v>
      </c>
      <c r="C138" t="s">
        <v>202</v>
      </c>
    </row>
    <row r="139" spans="1:3" x14ac:dyDescent="0.25">
      <c r="A139" s="1">
        <v>10</v>
      </c>
      <c r="B139" t="s">
        <v>203</v>
      </c>
      <c r="C139" t="s">
        <v>204</v>
      </c>
    </row>
    <row r="140" spans="1:3" x14ac:dyDescent="0.25">
      <c r="A140" s="1">
        <v>11</v>
      </c>
      <c r="B140" t="s">
        <v>205</v>
      </c>
      <c r="C140" t="s">
        <v>206</v>
      </c>
    </row>
    <row r="141" spans="1:3" x14ac:dyDescent="0.25">
      <c r="A141" s="1">
        <v>12</v>
      </c>
      <c r="B141" t="s">
        <v>207</v>
      </c>
      <c r="C141" t="s">
        <v>208</v>
      </c>
    </row>
    <row r="142" spans="1:3" x14ac:dyDescent="0.25">
      <c r="A142" s="1">
        <v>13</v>
      </c>
      <c r="B142" t="s">
        <v>209</v>
      </c>
      <c r="C142" t="s">
        <v>210</v>
      </c>
    </row>
    <row r="143" spans="1:3" x14ac:dyDescent="0.25">
      <c r="A143" s="1">
        <v>14</v>
      </c>
      <c r="B143" t="s">
        <v>211</v>
      </c>
      <c r="C143" t="s">
        <v>212</v>
      </c>
    </row>
    <row r="144" spans="1:3" x14ac:dyDescent="0.25">
      <c r="A144" s="1">
        <v>15</v>
      </c>
      <c r="B144" t="s">
        <v>213</v>
      </c>
      <c r="C144" t="s">
        <v>214</v>
      </c>
    </row>
    <row r="145" spans="1:3" x14ac:dyDescent="0.25">
      <c r="A145" s="1">
        <v>16</v>
      </c>
      <c r="B145" t="s">
        <v>215</v>
      </c>
      <c r="C145" t="s">
        <v>216</v>
      </c>
    </row>
    <row r="146" spans="1:3" x14ac:dyDescent="0.25">
      <c r="A146" s="1">
        <v>17</v>
      </c>
      <c r="B146" t="s">
        <v>217</v>
      </c>
      <c r="C146" t="s">
        <v>218</v>
      </c>
    </row>
    <row r="147" spans="1:3" x14ac:dyDescent="0.25">
      <c r="A147" s="1">
        <v>18</v>
      </c>
      <c r="B147" t="s">
        <v>219</v>
      </c>
      <c r="C147" t="s">
        <v>220</v>
      </c>
    </row>
    <row r="148" spans="1:3" x14ac:dyDescent="0.25">
      <c r="A148" s="1">
        <v>19</v>
      </c>
      <c r="B148" t="s">
        <v>221</v>
      </c>
      <c r="C148" t="s">
        <v>222</v>
      </c>
    </row>
    <row r="149" spans="1:3" x14ac:dyDescent="0.25">
      <c r="A149" s="1">
        <v>20</v>
      </c>
      <c r="B149" t="s">
        <v>223</v>
      </c>
      <c r="C149" t="s">
        <v>224</v>
      </c>
    </row>
    <row r="150" spans="1:3" x14ac:dyDescent="0.25">
      <c r="A150" s="1">
        <v>21</v>
      </c>
      <c r="B150" t="s">
        <v>225</v>
      </c>
      <c r="C150" t="s">
        <v>226</v>
      </c>
    </row>
    <row r="151" spans="1:3" x14ac:dyDescent="0.25">
      <c r="A151" s="1">
        <v>22</v>
      </c>
      <c r="B151" t="s">
        <v>227</v>
      </c>
      <c r="C151" t="s">
        <v>228</v>
      </c>
    </row>
    <row r="154" spans="1:3" x14ac:dyDescent="0.25">
      <c r="A154" s="1" t="s">
        <v>229</v>
      </c>
      <c r="C154" t="s">
        <v>1</v>
      </c>
    </row>
    <row r="155" spans="1:3" x14ac:dyDescent="0.25">
      <c r="A155" s="1">
        <v>1</v>
      </c>
      <c r="B155" t="s">
        <v>230</v>
      </c>
      <c r="C155" t="s">
        <v>231</v>
      </c>
    </row>
    <row r="156" spans="1:3" x14ac:dyDescent="0.25">
      <c r="A156" s="1">
        <v>2</v>
      </c>
      <c r="B156" t="s">
        <v>232</v>
      </c>
      <c r="C156" t="s">
        <v>233</v>
      </c>
    </row>
    <row r="157" spans="1:3" x14ac:dyDescent="0.25">
      <c r="A157" s="1">
        <v>3</v>
      </c>
      <c r="B157" t="s">
        <v>234</v>
      </c>
      <c r="C157" t="s">
        <v>235</v>
      </c>
    </row>
    <row r="158" spans="1:3" x14ac:dyDescent="0.25">
      <c r="A158" s="1">
        <v>4</v>
      </c>
      <c r="B158" t="s">
        <v>236</v>
      </c>
      <c r="C158" t="s">
        <v>237</v>
      </c>
    </row>
    <row r="159" spans="1:3" x14ac:dyDescent="0.25">
      <c r="A159" s="1">
        <v>5</v>
      </c>
      <c r="B159" t="s">
        <v>238</v>
      </c>
      <c r="C159" t="s">
        <v>239</v>
      </c>
    </row>
    <row r="160" spans="1:3" x14ac:dyDescent="0.25">
      <c r="A160" s="1">
        <v>6</v>
      </c>
      <c r="B160" t="s">
        <v>240</v>
      </c>
      <c r="C160" t="s">
        <v>241</v>
      </c>
    </row>
    <row r="161" spans="1:3" x14ac:dyDescent="0.25">
      <c r="A161" s="1">
        <v>7</v>
      </c>
      <c r="B161" t="s">
        <v>242</v>
      </c>
      <c r="C161" t="s">
        <v>243</v>
      </c>
    </row>
    <row r="162" spans="1:3" x14ac:dyDescent="0.25">
      <c r="A162" s="1">
        <v>8</v>
      </c>
      <c r="B162" t="s">
        <v>244</v>
      </c>
      <c r="C162" t="s">
        <v>245</v>
      </c>
    </row>
    <row r="163" spans="1:3" x14ac:dyDescent="0.25">
      <c r="A163" s="1">
        <v>9</v>
      </c>
      <c r="B163" t="s">
        <v>246</v>
      </c>
      <c r="C163" t="s">
        <v>247</v>
      </c>
    </row>
    <row r="164" spans="1:3" x14ac:dyDescent="0.25">
      <c r="A164" s="1">
        <v>10</v>
      </c>
      <c r="B164" t="s">
        <v>248</v>
      </c>
      <c r="C164" t="s">
        <v>249</v>
      </c>
    </row>
    <row r="165" spans="1:3" x14ac:dyDescent="0.25">
      <c r="A165" s="1">
        <v>11</v>
      </c>
      <c r="B165" t="s">
        <v>250</v>
      </c>
      <c r="C165" t="s">
        <v>251</v>
      </c>
    </row>
    <row r="166" spans="1:3" x14ac:dyDescent="0.25">
      <c r="A166" s="1">
        <v>12</v>
      </c>
      <c r="B166" t="s">
        <v>252</v>
      </c>
      <c r="C166" t="s">
        <v>253</v>
      </c>
    </row>
    <row r="167" spans="1:3" x14ac:dyDescent="0.25">
      <c r="A167" s="1">
        <v>13</v>
      </c>
      <c r="B167" t="s">
        <v>254</v>
      </c>
      <c r="C167" t="s">
        <v>255</v>
      </c>
    </row>
    <row r="168" spans="1:3" x14ac:dyDescent="0.25">
      <c r="A168" s="1">
        <v>14</v>
      </c>
      <c r="B168" t="s">
        <v>256</v>
      </c>
      <c r="C168" t="s">
        <v>257</v>
      </c>
    </row>
    <row r="169" spans="1:3" x14ac:dyDescent="0.25">
      <c r="A169" s="1">
        <v>15</v>
      </c>
      <c r="B169" t="s">
        <v>258</v>
      </c>
      <c r="C169" t="s">
        <v>259</v>
      </c>
    </row>
    <row r="170" spans="1:3" x14ac:dyDescent="0.25">
      <c r="A170" s="1">
        <v>16</v>
      </c>
      <c r="B170" t="s">
        <v>260</v>
      </c>
      <c r="C170" t="s">
        <v>261</v>
      </c>
    </row>
    <row r="171" spans="1:3" x14ac:dyDescent="0.25">
      <c r="A171" s="1">
        <v>17</v>
      </c>
      <c r="B171" t="s">
        <v>262</v>
      </c>
      <c r="C171" t="s">
        <v>263</v>
      </c>
    </row>
    <row r="172" spans="1:3" x14ac:dyDescent="0.25">
      <c r="A172" s="1">
        <v>18</v>
      </c>
      <c r="B172" t="s">
        <v>264</v>
      </c>
      <c r="C172" t="s">
        <v>265</v>
      </c>
    </row>
    <row r="173" spans="1:3" x14ac:dyDescent="0.25">
      <c r="A173" s="1">
        <v>19</v>
      </c>
      <c r="B173" t="s">
        <v>266</v>
      </c>
      <c r="C173" t="s">
        <v>267</v>
      </c>
    </row>
    <row r="174" spans="1:3" x14ac:dyDescent="0.25">
      <c r="A174" s="1">
        <v>20</v>
      </c>
      <c r="B174" t="s">
        <v>268</v>
      </c>
      <c r="C174" t="s">
        <v>269</v>
      </c>
    </row>
    <row r="175" spans="1:3" x14ac:dyDescent="0.25">
      <c r="A175" s="1">
        <v>21</v>
      </c>
      <c r="B175" t="s">
        <v>270</v>
      </c>
      <c r="C175" t="s">
        <v>271</v>
      </c>
    </row>
    <row r="176" spans="1:3" x14ac:dyDescent="0.25">
      <c r="A176" s="1">
        <v>22</v>
      </c>
      <c r="B176" t="s">
        <v>272</v>
      </c>
      <c r="C176" t="s">
        <v>273</v>
      </c>
    </row>
    <row r="177" spans="1:3" x14ac:dyDescent="0.25">
      <c r="A177" s="1">
        <v>23</v>
      </c>
      <c r="B177" t="s">
        <v>274</v>
      </c>
      <c r="C177" t="s">
        <v>275</v>
      </c>
    </row>
    <row r="178" spans="1:3" x14ac:dyDescent="0.25">
      <c r="A178" s="1">
        <v>24</v>
      </c>
      <c r="B178" t="s">
        <v>276</v>
      </c>
      <c r="C178" t="s">
        <v>277</v>
      </c>
    </row>
    <row r="179" spans="1:3" x14ac:dyDescent="0.25">
      <c r="A179" s="1">
        <v>25</v>
      </c>
      <c r="B179" t="s">
        <v>278</v>
      </c>
      <c r="C179" t="s">
        <v>279</v>
      </c>
    </row>
    <row r="180" spans="1:3" x14ac:dyDescent="0.25">
      <c r="A180" s="1">
        <v>26</v>
      </c>
      <c r="B180" t="s">
        <v>280</v>
      </c>
      <c r="C180" t="s">
        <v>281</v>
      </c>
    </row>
    <row r="181" spans="1:3" x14ac:dyDescent="0.25">
      <c r="A181" s="1">
        <v>27</v>
      </c>
      <c r="B181" t="s">
        <v>282</v>
      </c>
      <c r="C181" t="s">
        <v>283</v>
      </c>
    </row>
    <row r="182" spans="1:3" x14ac:dyDescent="0.25">
      <c r="A182" s="1">
        <v>28</v>
      </c>
      <c r="B182" t="s">
        <v>284</v>
      </c>
      <c r="C182" t="s">
        <v>285</v>
      </c>
    </row>
    <row r="183" spans="1:3" x14ac:dyDescent="0.25">
      <c r="A183" s="1">
        <v>29</v>
      </c>
      <c r="B183" t="s">
        <v>286</v>
      </c>
      <c r="C183" t="s">
        <v>287</v>
      </c>
    </row>
    <row r="184" spans="1:3" x14ac:dyDescent="0.25">
      <c r="A184" s="1">
        <v>30</v>
      </c>
      <c r="B184" t="s">
        <v>288</v>
      </c>
      <c r="C184" t="s">
        <v>289</v>
      </c>
    </row>
    <row r="185" spans="1:3" x14ac:dyDescent="0.25">
      <c r="A185" s="1">
        <v>31</v>
      </c>
      <c r="B185" t="s">
        <v>290</v>
      </c>
      <c r="C185" t="s">
        <v>291</v>
      </c>
    </row>
    <row r="186" spans="1:3" x14ac:dyDescent="0.25">
      <c r="A186" s="1">
        <v>32</v>
      </c>
      <c r="B186" t="s">
        <v>292</v>
      </c>
      <c r="C186" t="s">
        <v>293</v>
      </c>
    </row>
    <row r="187" spans="1:3" x14ac:dyDescent="0.25">
      <c r="A187" s="1">
        <v>33</v>
      </c>
      <c r="B187" t="s">
        <v>294</v>
      </c>
      <c r="C187" t="s">
        <v>295</v>
      </c>
    </row>
    <row r="188" spans="1:3" x14ac:dyDescent="0.25">
      <c r="A188" s="1">
        <v>34</v>
      </c>
      <c r="B188" t="s">
        <v>296</v>
      </c>
      <c r="C188" t="s">
        <v>297</v>
      </c>
    </row>
    <row r="189" spans="1:3" x14ac:dyDescent="0.25">
      <c r="A189" s="1">
        <v>35</v>
      </c>
      <c r="B189" t="s">
        <v>298</v>
      </c>
      <c r="C189" t="s">
        <v>299</v>
      </c>
    </row>
    <row r="190" spans="1:3" x14ac:dyDescent="0.25">
      <c r="A190" s="1">
        <v>36</v>
      </c>
      <c r="B190" t="s">
        <v>300</v>
      </c>
      <c r="C190" t="s">
        <v>301</v>
      </c>
    </row>
    <row r="191" spans="1:3" x14ac:dyDescent="0.25">
      <c r="A191" s="1">
        <v>37</v>
      </c>
      <c r="B191" t="s">
        <v>302</v>
      </c>
      <c r="C191" t="s">
        <v>303</v>
      </c>
    </row>
    <row r="192" spans="1:3" x14ac:dyDescent="0.25">
      <c r="A192" s="1">
        <v>38</v>
      </c>
      <c r="B192" t="s">
        <v>304</v>
      </c>
      <c r="C192" t="s">
        <v>305</v>
      </c>
    </row>
    <row r="193" spans="1:3" x14ac:dyDescent="0.25">
      <c r="A193" s="1">
        <v>39</v>
      </c>
      <c r="B193" t="s">
        <v>306</v>
      </c>
      <c r="C193" t="s">
        <v>307</v>
      </c>
    </row>
    <row r="194" spans="1:3" x14ac:dyDescent="0.25">
      <c r="A194" s="1">
        <v>40</v>
      </c>
      <c r="B194" t="s">
        <v>308</v>
      </c>
      <c r="C194" t="s">
        <v>309</v>
      </c>
    </row>
    <row r="195" spans="1:3" x14ac:dyDescent="0.25">
      <c r="A195" s="1">
        <v>41</v>
      </c>
      <c r="B195" t="s">
        <v>310</v>
      </c>
      <c r="C195" t="s">
        <v>311</v>
      </c>
    </row>
    <row r="196" spans="1:3" x14ac:dyDescent="0.25">
      <c r="A196" s="1">
        <v>42</v>
      </c>
      <c r="B196" t="s">
        <v>312</v>
      </c>
      <c r="C196" t="s">
        <v>313</v>
      </c>
    </row>
    <row r="197" spans="1:3" x14ac:dyDescent="0.25">
      <c r="A197" s="1">
        <v>43</v>
      </c>
      <c r="B197" t="s">
        <v>314</v>
      </c>
      <c r="C197" t="s">
        <v>315</v>
      </c>
    </row>
    <row r="198" spans="1:3" x14ac:dyDescent="0.25">
      <c r="A198" s="1">
        <v>44</v>
      </c>
      <c r="B198" t="s">
        <v>316</v>
      </c>
      <c r="C198" t="s">
        <v>317</v>
      </c>
    </row>
    <row r="199" spans="1:3" x14ac:dyDescent="0.25">
      <c r="A199" s="1">
        <v>45</v>
      </c>
      <c r="B199" t="s">
        <v>318</v>
      </c>
      <c r="C199" t="s">
        <v>319</v>
      </c>
    </row>
    <row r="200" spans="1:3" x14ac:dyDescent="0.25">
      <c r="A200" s="1">
        <v>46</v>
      </c>
      <c r="B200" t="s">
        <v>320</v>
      </c>
      <c r="C200" t="s">
        <v>321</v>
      </c>
    </row>
    <row r="201" spans="1:3" x14ac:dyDescent="0.25">
      <c r="A201" s="1">
        <v>47</v>
      </c>
      <c r="B201" t="s">
        <v>322</v>
      </c>
      <c r="C201" t="s">
        <v>323</v>
      </c>
    </row>
    <row r="202" spans="1:3" x14ac:dyDescent="0.25">
      <c r="A202" s="1">
        <v>48</v>
      </c>
      <c r="B202" t="s">
        <v>324</v>
      </c>
      <c r="C202" t="s">
        <v>325</v>
      </c>
    </row>
    <row r="203" spans="1:3" x14ac:dyDescent="0.25">
      <c r="A203" s="1">
        <v>49</v>
      </c>
      <c r="B203" t="s">
        <v>326</v>
      </c>
      <c r="C203" t="s">
        <v>327</v>
      </c>
    </row>
    <row r="204" spans="1:3" x14ac:dyDescent="0.25">
      <c r="A204" s="1">
        <v>50</v>
      </c>
      <c r="B204" t="s">
        <v>328</v>
      </c>
      <c r="C204" t="s">
        <v>329</v>
      </c>
    </row>
    <row r="205" spans="1:3" x14ac:dyDescent="0.25">
      <c r="A205" s="1">
        <v>51</v>
      </c>
      <c r="B205" t="s">
        <v>330</v>
      </c>
      <c r="C205" t="s">
        <v>331</v>
      </c>
    </row>
    <row r="206" spans="1:3" x14ac:dyDescent="0.25">
      <c r="A206" s="1">
        <v>52</v>
      </c>
      <c r="B206" t="s">
        <v>332</v>
      </c>
      <c r="C206" t="s">
        <v>333</v>
      </c>
    </row>
    <row r="207" spans="1:3" x14ac:dyDescent="0.25">
      <c r="A207" s="1">
        <v>53</v>
      </c>
      <c r="B207" t="s">
        <v>334</v>
      </c>
      <c r="C207" t="s">
        <v>335</v>
      </c>
    </row>
    <row r="208" spans="1:3" x14ac:dyDescent="0.25">
      <c r="A208" s="1">
        <v>54</v>
      </c>
      <c r="B208" t="s">
        <v>336</v>
      </c>
      <c r="C208" t="s">
        <v>337</v>
      </c>
    </row>
    <row r="209" spans="1:3" x14ac:dyDescent="0.25">
      <c r="A209" s="1">
        <v>55</v>
      </c>
      <c r="B209" t="s">
        <v>338</v>
      </c>
      <c r="C209" t="s">
        <v>339</v>
      </c>
    </row>
    <row r="210" spans="1:3" x14ac:dyDescent="0.25">
      <c r="A210" s="1">
        <v>56</v>
      </c>
      <c r="B210" t="s">
        <v>340</v>
      </c>
      <c r="C210" t="s">
        <v>341</v>
      </c>
    </row>
    <row r="211" spans="1:3" x14ac:dyDescent="0.25">
      <c r="A211" s="1">
        <v>57</v>
      </c>
      <c r="B211" t="s">
        <v>342</v>
      </c>
      <c r="C211" t="s">
        <v>343</v>
      </c>
    </row>
    <row r="212" spans="1:3" x14ac:dyDescent="0.25">
      <c r="A212" s="1">
        <v>58</v>
      </c>
      <c r="B212" t="s">
        <v>344</v>
      </c>
      <c r="C212" t="s">
        <v>345</v>
      </c>
    </row>
    <row r="213" spans="1:3" x14ac:dyDescent="0.25">
      <c r="A213" s="1">
        <v>59</v>
      </c>
      <c r="B213" t="s">
        <v>346</v>
      </c>
      <c r="C213" t="s">
        <v>347</v>
      </c>
    </row>
    <row r="214" spans="1:3" x14ac:dyDescent="0.25">
      <c r="A214" s="1">
        <v>60</v>
      </c>
      <c r="B214" t="s">
        <v>348</v>
      </c>
      <c r="C214" t="s">
        <v>349</v>
      </c>
    </row>
    <row r="215" spans="1:3" x14ac:dyDescent="0.25">
      <c r="A215" s="1">
        <v>61</v>
      </c>
      <c r="B215" t="s">
        <v>350</v>
      </c>
      <c r="C215" t="s">
        <v>351</v>
      </c>
    </row>
    <row r="216" spans="1:3" x14ac:dyDescent="0.25">
      <c r="A216" s="1">
        <v>62</v>
      </c>
      <c r="B216" t="s">
        <v>352</v>
      </c>
      <c r="C216" t="s">
        <v>353</v>
      </c>
    </row>
    <row r="217" spans="1:3" x14ac:dyDescent="0.25">
      <c r="A217" s="1">
        <v>63</v>
      </c>
      <c r="B217" t="s">
        <v>354</v>
      </c>
      <c r="C217" t="s">
        <v>355</v>
      </c>
    </row>
    <row r="218" spans="1:3" x14ac:dyDescent="0.25">
      <c r="A218" s="1">
        <v>64</v>
      </c>
      <c r="B218" t="s">
        <v>356</v>
      </c>
      <c r="C218" t="s">
        <v>357</v>
      </c>
    </row>
    <row r="219" spans="1:3" x14ac:dyDescent="0.25">
      <c r="A219" s="1">
        <v>65</v>
      </c>
      <c r="B219" t="s">
        <v>358</v>
      </c>
      <c r="C219" t="s">
        <v>359</v>
      </c>
    </row>
    <row r="220" spans="1:3" x14ac:dyDescent="0.25">
      <c r="A220" s="1">
        <v>66</v>
      </c>
      <c r="B220" t="s">
        <v>360</v>
      </c>
      <c r="C220" t="s">
        <v>361</v>
      </c>
    </row>
    <row r="221" spans="1:3" x14ac:dyDescent="0.25">
      <c r="A221" s="1">
        <v>67</v>
      </c>
      <c r="B221" t="s">
        <v>362</v>
      </c>
      <c r="C221" t="s">
        <v>363</v>
      </c>
    </row>
    <row r="222" spans="1:3" x14ac:dyDescent="0.25">
      <c r="A222" s="1">
        <v>68</v>
      </c>
      <c r="B222" t="s">
        <v>364</v>
      </c>
      <c r="C222" t="s">
        <v>365</v>
      </c>
    </row>
    <row r="223" spans="1:3" x14ac:dyDescent="0.25">
      <c r="A223" s="1">
        <v>69</v>
      </c>
      <c r="B223" t="s">
        <v>366</v>
      </c>
      <c r="C223" t="s">
        <v>367</v>
      </c>
    </row>
    <row r="224" spans="1:3" x14ac:dyDescent="0.25">
      <c r="A224" s="1">
        <v>70</v>
      </c>
      <c r="B224" t="s">
        <v>368</v>
      </c>
      <c r="C224" t="s">
        <v>369</v>
      </c>
    </row>
    <row r="225" spans="1:3" x14ac:dyDescent="0.25">
      <c r="A225" s="1">
        <v>71</v>
      </c>
      <c r="B225" t="s">
        <v>370</v>
      </c>
      <c r="C225" t="s">
        <v>371</v>
      </c>
    </row>
    <row r="226" spans="1:3" x14ac:dyDescent="0.25">
      <c r="A226" s="1">
        <v>72</v>
      </c>
      <c r="B226" t="s">
        <v>372</v>
      </c>
      <c r="C226" t="s">
        <v>373</v>
      </c>
    </row>
    <row r="227" spans="1:3" x14ac:dyDescent="0.25">
      <c r="A227" s="1">
        <v>73</v>
      </c>
      <c r="B227" t="s">
        <v>374</v>
      </c>
      <c r="C227" t="s">
        <v>375</v>
      </c>
    </row>
    <row r="228" spans="1:3" x14ac:dyDescent="0.25">
      <c r="A228" s="1">
        <v>74</v>
      </c>
      <c r="B228" t="s">
        <v>376</v>
      </c>
      <c r="C228" t="s">
        <v>377</v>
      </c>
    </row>
    <row r="229" spans="1:3" x14ac:dyDescent="0.25">
      <c r="A229" s="1">
        <v>75</v>
      </c>
      <c r="B229" t="s">
        <v>378</v>
      </c>
      <c r="C229" t="s">
        <v>379</v>
      </c>
    </row>
    <row r="230" spans="1:3" x14ac:dyDescent="0.25">
      <c r="A230" s="1">
        <v>76</v>
      </c>
      <c r="B230" t="s">
        <v>380</v>
      </c>
      <c r="C230" t="s">
        <v>381</v>
      </c>
    </row>
    <row r="231" spans="1:3" x14ac:dyDescent="0.25">
      <c r="A231" s="1">
        <v>77</v>
      </c>
      <c r="B231" t="s">
        <v>382</v>
      </c>
      <c r="C231" t="s">
        <v>383</v>
      </c>
    </row>
    <row r="232" spans="1:3" x14ac:dyDescent="0.25">
      <c r="A232" s="1">
        <v>78</v>
      </c>
      <c r="B232" t="s">
        <v>384</v>
      </c>
      <c r="C232" t="s">
        <v>385</v>
      </c>
    </row>
    <row r="233" spans="1:3" x14ac:dyDescent="0.25">
      <c r="A233" s="1">
        <v>79</v>
      </c>
      <c r="B233" t="s">
        <v>386</v>
      </c>
      <c r="C233" t="s">
        <v>387</v>
      </c>
    </row>
    <row r="234" spans="1:3" x14ac:dyDescent="0.25">
      <c r="A234" s="1">
        <v>80</v>
      </c>
      <c r="B234" t="s">
        <v>388</v>
      </c>
      <c r="C234" t="s">
        <v>389</v>
      </c>
    </row>
    <row r="235" spans="1:3" x14ac:dyDescent="0.25">
      <c r="A235" s="1">
        <v>81</v>
      </c>
      <c r="B235" t="s">
        <v>390</v>
      </c>
      <c r="C235" t="s">
        <v>391</v>
      </c>
    </row>
    <row r="236" spans="1:3" x14ac:dyDescent="0.25">
      <c r="A236" s="1">
        <v>82</v>
      </c>
      <c r="B236" t="s">
        <v>392</v>
      </c>
      <c r="C236" t="s">
        <v>393</v>
      </c>
    </row>
    <row r="237" spans="1:3" x14ac:dyDescent="0.25">
      <c r="A237" s="1">
        <v>83</v>
      </c>
      <c r="B237" t="s">
        <v>394</v>
      </c>
      <c r="C237" t="s">
        <v>395</v>
      </c>
    </row>
    <row r="238" spans="1:3" x14ac:dyDescent="0.25">
      <c r="A238" s="1">
        <v>84</v>
      </c>
      <c r="B238" t="s">
        <v>396</v>
      </c>
      <c r="C238" t="s">
        <v>397</v>
      </c>
    </row>
    <row r="239" spans="1:3" x14ac:dyDescent="0.25">
      <c r="A239" s="1">
        <v>85</v>
      </c>
      <c r="B239" t="s">
        <v>398</v>
      </c>
      <c r="C239" t="s">
        <v>399</v>
      </c>
    </row>
    <row r="240" spans="1:3" x14ac:dyDescent="0.25">
      <c r="A240" s="1">
        <v>86</v>
      </c>
      <c r="B240" t="s">
        <v>400</v>
      </c>
      <c r="C240" t="s">
        <v>401</v>
      </c>
    </row>
    <row r="241" spans="1:3" x14ac:dyDescent="0.25">
      <c r="A241" s="1">
        <v>87</v>
      </c>
      <c r="B241" t="s">
        <v>402</v>
      </c>
      <c r="C241" t="s">
        <v>403</v>
      </c>
    </row>
    <row r="242" spans="1:3" x14ac:dyDescent="0.25">
      <c r="A242" s="1">
        <v>88</v>
      </c>
      <c r="B242" t="s">
        <v>404</v>
      </c>
      <c r="C242" t="s">
        <v>405</v>
      </c>
    </row>
    <row r="243" spans="1:3" x14ac:dyDescent="0.25">
      <c r="A243" s="1">
        <v>89</v>
      </c>
      <c r="B243" t="s">
        <v>406</v>
      </c>
      <c r="C243" t="s">
        <v>407</v>
      </c>
    </row>
    <row r="244" spans="1:3" x14ac:dyDescent="0.25">
      <c r="A244" s="1">
        <v>90</v>
      </c>
      <c r="B244" t="s">
        <v>408</v>
      </c>
      <c r="C244" t="s">
        <v>409</v>
      </c>
    </row>
    <row r="245" spans="1:3" x14ac:dyDescent="0.25">
      <c r="A245" s="1">
        <v>91</v>
      </c>
      <c r="B245" t="s">
        <v>410</v>
      </c>
      <c r="C245" t="s">
        <v>411</v>
      </c>
    </row>
    <row r="246" spans="1:3" x14ac:dyDescent="0.25">
      <c r="A246" s="1">
        <v>92</v>
      </c>
      <c r="B246" t="s">
        <v>412</v>
      </c>
      <c r="C246" t="s">
        <v>413</v>
      </c>
    </row>
    <row r="247" spans="1:3" x14ac:dyDescent="0.25">
      <c r="A247" s="1">
        <v>93</v>
      </c>
      <c r="B247" t="s">
        <v>414</v>
      </c>
      <c r="C247" t="s">
        <v>415</v>
      </c>
    </row>
    <row r="248" spans="1:3" x14ac:dyDescent="0.25">
      <c r="A248" s="1">
        <v>94</v>
      </c>
      <c r="B248" t="s">
        <v>416</v>
      </c>
      <c r="C248" t="s">
        <v>417</v>
      </c>
    </row>
    <row r="249" spans="1:3" x14ac:dyDescent="0.25">
      <c r="A249" s="1">
        <v>95</v>
      </c>
      <c r="B249" t="s">
        <v>418</v>
      </c>
      <c r="C249" t="s">
        <v>419</v>
      </c>
    </row>
    <row r="250" spans="1:3" x14ac:dyDescent="0.25">
      <c r="A250" s="1">
        <v>96</v>
      </c>
      <c r="B250" t="s">
        <v>420</v>
      </c>
      <c r="C250" t="s">
        <v>421</v>
      </c>
    </row>
    <row r="251" spans="1:3" x14ac:dyDescent="0.25">
      <c r="A251" s="1">
        <v>97</v>
      </c>
      <c r="B251" t="s">
        <v>422</v>
      </c>
      <c r="C251" t="s">
        <v>423</v>
      </c>
    </row>
    <row r="252" spans="1:3" x14ac:dyDescent="0.25">
      <c r="A252" s="1">
        <v>98</v>
      </c>
      <c r="B252" t="s">
        <v>424</v>
      </c>
      <c r="C252" t="s">
        <v>425</v>
      </c>
    </row>
    <row r="253" spans="1:3" x14ac:dyDescent="0.25">
      <c r="A253" s="1">
        <v>99</v>
      </c>
      <c r="B253" t="s">
        <v>426</v>
      </c>
      <c r="C253" t="s">
        <v>427</v>
      </c>
    </row>
    <row r="254" spans="1:3" x14ac:dyDescent="0.25">
      <c r="A254" s="1">
        <v>100</v>
      </c>
      <c r="B254" t="s">
        <v>428</v>
      </c>
      <c r="C254" t="s">
        <v>429</v>
      </c>
    </row>
    <row r="255" spans="1:3" x14ac:dyDescent="0.25">
      <c r="A255" s="1">
        <v>101</v>
      </c>
      <c r="B255" t="s">
        <v>430</v>
      </c>
      <c r="C255" t="s">
        <v>431</v>
      </c>
    </row>
    <row r="256" spans="1:3" x14ac:dyDescent="0.25">
      <c r="A256" s="1">
        <v>102</v>
      </c>
      <c r="B256" t="s">
        <v>432</v>
      </c>
      <c r="C256" t="s">
        <v>433</v>
      </c>
    </row>
    <row r="257" spans="1:3" x14ac:dyDescent="0.25">
      <c r="A257" s="1">
        <v>103</v>
      </c>
      <c r="B257" t="s">
        <v>434</v>
      </c>
      <c r="C257" t="s">
        <v>435</v>
      </c>
    </row>
    <row r="258" spans="1:3" x14ac:dyDescent="0.25">
      <c r="A258" s="1">
        <v>104</v>
      </c>
      <c r="B258" t="s">
        <v>436</v>
      </c>
      <c r="C258" t="s">
        <v>437</v>
      </c>
    </row>
    <row r="259" spans="1:3" x14ac:dyDescent="0.25">
      <c r="A259" s="1">
        <v>105</v>
      </c>
      <c r="B259" t="s">
        <v>438</v>
      </c>
      <c r="C259" t="s">
        <v>439</v>
      </c>
    </row>
    <row r="260" spans="1:3" x14ac:dyDescent="0.25">
      <c r="A260" s="1">
        <v>106</v>
      </c>
      <c r="B260" t="s">
        <v>440</v>
      </c>
      <c r="C260" t="s">
        <v>441</v>
      </c>
    </row>
    <row r="261" spans="1:3" x14ac:dyDescent="0.25">
      <c r="A261" s="1">
        <v>107</v>
      </c>
      <c r="B261" t="s">
        <v>442</v>
      </c>
      <c r="C261" t="s">
        <v>443</v>
      </c>
    </row>
    <row r="262" spans="1:3" x14ac:dyDescent="0.25">
      <c r="A262" s="1">
        <v>108</v>
      </c>
      <c r="B262" t="s">
        <v>444</v>
      </c>
      <c r="C262" t="s">
        <v>445</v>
      </c>
    </row>
    <row r="263" spans="1:3" x14ac:dyDescent="0.25">
      <c r="A263" s="1">
        <v>109</v>
      </c>
      <c r="B263" t="s">
        <v>446</v>
      </c>
      <c r="C263" t="s">
        <v>447</v>
      </c>
    </row>
    <row r="264" spans="1:3" x14ac:dyDescent="0.25">
      <c r="A264" s="1">
        <v>110</v>
      </c>
      <c r="B264" t="s">
        <v>448</v>
      </c>
      <c r="C264" t="s">
        <v>449</v>
      </c>
    </row>
    <row r="265" spans="1:3" x14ac:dyDescent="0.25">
      <c r="A265" s="1">
        <v>111</v>
      </c>
      <c r="B265" t="s">
        <v>450</v>
      </c>
      <c r="C265" t="s">
        <v>451</v>
      </c>
    </row>
    <row r="266" spans="1:3" x14ac:dyDescent="0.25">
      <c r="A266" s="1">
        <v>112</v>
      </c>
      <c r="B266" t="s">
        <v>452</v>
      </c>
      <c r="C266" t="s">
        <v>453</v>
      </c>
    </row>
    <row r="267" spans="1:3" x14ac:dyDescent="0.25">
      <c r="A267" s="1">
        <v>113</v>
      </c>
      <c r="B267" t="s">
        <v>454</v>
      </c>
      <c r="C267" t="s">
        <v>455</v>
      </c>
    </row>
    <row r="268" spans="1:3" x14ac:dyDescent="0.25">
      <c r="A268" s="1">
        <v>114</v>
      </c>
      <c r="B268" t="s">
        <v>456</v>
      </c>
      <c r="C268" t="s">
        <v>457</v>
      </c>
    </row>
    <row r="269" spans="1:3" x14ac:dyDescent="0.25">
      <c r="A269" s="1">
        <v>115</v>
      </c>
      <c r="B269" t="s">
        <v>458</v>
      </c>
      <c r="C269" t="s">
        <v>459</v>
      </c>
    </row>
    <row r="270" spans="1:3" x14ac:dyDescent="0.25">
      <c r="A270" s="1">
        <v>116</v>
      </c>
      <c r="B270" t="s">
        <v>460</v>
      </c>
      <c r="C270" t="s">
        <v>461</v>
      </c>
    </row>
    <row r="271" spans="1:3" x14ac:dyDescent="0.25">
      <c r="A271" s="1">
        <v>117</v>
      </c>
      <c r="B271" t="s">
        <v>462</v>
      </c>
      <c r="C271" t="s">
        <v>463</v>
      </c>
    </row>
    <row r="272" spans="1:3" x14ac:dyDescent="0.25">
      <c r="A272" s="1">
        <v>118</v>
      </c>
      <c r="B272" t="s">
        <v>464</v>
      </c>
      <c r="C272" t="s">
        <v>465</v>
      </c>
    </row>
    <row r="273" spans="1:3" x14ac:dyDescent="0.25">
      <c r="A273" s="1">
        <v>119</v>
      </c>
      <c r="B273" t="s">
        <v>466</v>
      </c>
      <c r="C273" t="s">
        <v>467</v>
      </c>
    </row>
    <row r="274" spans="1:3" x14ac:dyDescent="0.25">
      <c r="A274" s="1">
        <v>120</v>
      </c>
      <c r="B274" t="s">
        <v>468</v>
      </c>
      <c r="C274" t="s">
        <v>469</v>
      </c>
    </row>
    <row r="275" spans="1:3" x14ac:dyDescent="0.25">
      <c r="A275" s="1">
        <v>121</v>
      </c>
      <c r="B275" t="s">
        <v>470</v>
      </c>
      <c r="C275" t="s">
        <v>471</v>
      </c>
    </row>
    <row r="276" spans="1:3" x14ac:dyDescent="0.25">
      <c r="A276" s="1">
        <v>122</v>
      </c>
      <c r="B276" t="s">
        <v>472</v>
      </c>
      <c r="C276" t="s">
        <v>473</v>
      </c>
    </row>
    <row r="277" spans="1:3" x14ac:dyDescent="0.25">
      <c r="A277" s="1">
        <v>123</v>
      </c>
      <c r="B277" t="s">
        <v>474</v>
      </c>
      <c r="C277" t="s">
        <v>475</v>
      </c>
    </row>
    <row r="278" spans="1:3" x14ac:dyDescent="0.25">
      <c r="A278" s="1">
        <v>124</v>
      </c>
      <c r="B278" t="s">
        <v>476</v>
      </c>
      <c r="C278" t="s">
        <v>477</v>
      </c>
    </row>
    <row r="279" spans="1:3" x14ac:dyDescent="0.25">
      <c r="A279" s="1">
        <v>125</v>
      </c>
      <c r="B279" t="s">
        <v>478</v>
      </c>
      <c r="C279" t="s">
        <v>479</v>
      </c>
    </row>
    <row r="280" spans="1:3" x14ac:dyDescent="0.25">
      <c r="A280" s="1">
        <v>126</v>
      </c>
      <c r="B280" t="s">
        <v>480</v>
      </c>
      <c r="C280" t="s">
        <v>481</v>
      </c>
    </row>
    <row r="281" spans="1:3" x14ac:dyDescent="0.25">
      <c r="A281" s="1">
        <v>127</v>
      </c>
      <c r="B281" t="s">
        <v>482</v>
      </c>
      <c r="C281" t="s">
        <v>483</v>
      </c>
    </row>
    <row r="282" spans="1:3" x14ac:dyDescent="0.25">
      <c r="A282" s="1">
        <v>128</v>
      </c>
      <c r="B282" t="s">
        <v>484</v>
      </c>
      <c r="C282" t="s">
        <v>485</v>
      </c>
    </row>
    <row r="283" spans="1:3" x14ac:dyDescent="0.25">
      <c r="A283" s="1">
        <v>129</v>
      </c>
      <c r="B283" t="s">
        <v>486</v>
      </c>
      <c r="C283" t="s">
        <v>487</v>
      </c>
    </row>
    <row r="284" spans="1:3" x14ac:dyDescent="0.25">
      <c r="A284" s="1">
        <v>130</v>
      </c>
      <c r="B284" t="s">
        <v>488</v>
      </c>
      <c r="C284" t="s">
        <v>489</v>
      </c>
    </row>
    <row r="285" spans="1:3" x14ac:dyDescent="0.25">
      <c r="A285" s="1">
        <v>131</v>
      </c>
      <c r="B285" t="s">
        <v>490</v>
      </c>
      <c r="C285" t="s">
        <v>491</v>
      </c>
    </row>
    <row r="286" spans="1:3" x14ac:dyDescent="0.25">
      <c r="A286" s="1">
        <v>132</v>
      </c>
      <c r="B286" t="s">
        <v>492</v>
      </c>
      <c r="C286" t="s">
        <v>493</v>
      </c>
    </row>
    <row r="287" spans="1:3" x14ac:dyDescent="0.25">
      <c r="A287" s="1">
        <v>133</v>
      </c>
      <c r="B287" t="s">
        <v>494</v>
      </c>
      <c r="C287" t="s">
        <v>495</v>
      </c>
    </row>
    <row r="288" spans="1:3" x14ac:dyDescent="0.25">
      <c r="A288" s="1">
        <v>134</v>
      </c>
      <c r="B288" t="s">
        <v>496</v>
      </c>
      <c r="C288" t="s">
        <v>497</v>
      </c>
    </row>
    <row r="289" spans="1:3" x14ac:dyDescent="0.25">
      <c r="A289" s="1">
        <v>135</v>
      </c>
      <c r="B289" t="s">
        <v>498</v>
      </c>
      <c r="C289" t="s">
        <v>499</v>
      </c>
    </row>
    <row r="290" spans="1:3" x14ac:dyDescent="0.25">
      <c r="A290" s="1">
        <v>136</v>
      </c>
      <c r="B290" t="s">
        <v>500</v>
      </c>
      <c r="C290" t="s">
        <v>501</v>
      </c>
    </row>
    <row r="291" spans="1:3" x14ac:dyDescent="0.25">
      <c r="A291" s="1">
        <v>137</v>
      </c>
      <c r="B291" t="s">
        <v>502</v>
      </c>
      <c r="C291" t="s">
        <v>503</v>
      </c>
    </row>
    <row r="292" spans="1:3" x14ac:dyDescent="0.25">
      <c r="A292" s="1">
        <v>138</v>
      </c>
      <c r="B292" t="s">
        <v>504</v>
      </c>
      <c r="C292" t="s">
        <v>505</v>
      </c>
    </row>
    <row r="293" spans="1:3" x14ac:dyDescent="0.25">
      <c r="A293" s="1">
        <v>139</v>
      </c>
      <c r="B293" t="s">
        <v>506</v>
      </c>
      <c r="C293" t="s">
        <v>507</v>
      </c>
    </row>
    <row r="294" spans="1:3" x14ac:dyDescent="0.25">
      <c r="A294" s="1">
        <v>140</v>
      </c>
      <c r="B294" t="s">
        <v>508</v>
      </c>
      <c r="C294" t="s">
        <v>509</v>
      </c>
    </row>
    <row r="295" spans="1:3" x14ac:dyDescent="0.25">
      <c r="A295" s="1">
        <v>141</v>
      </c>
      <c r="B295" t="s">
        <v>510</v>
      </c>
      <c r="C295" t="s">
        <v>511</v>
      </c>
    </row>
    <row r="296" spans="1:3" x14ac:dyDescent="0.25">
      <c r="A296" s="1">
        <v>142</v>
      </c>
      <c r="B296" t="s">
        <v>512</v>
      </c>
      <c r="C296" t="s">
        <v>513</v>
      </c>
    </row>
    <row r="297" spans="1:3" x14ac:dyDescent="0.25">
      <c r="A297" s="1">
        <v>143</v>
      </c>
      <c r="B297" t="s">
        <v>514</v>
      </c>
      <c r="C297" t="s">
        <v>515</v>
      </c>
    </row>
    <row r="298" spans="1:3" x14ac:dyDescent="0.25">
      <c r="A298" s="1">
        <v>144</v>
      </c>
      <c r="B298" t="s">
        <v>516</v>
      </c>
      <c r="C298" t="s">
        <v>517</v>
      </c>
    </row>
    <row r="299" spans="1:3" x14ac:dyDescent="0.25">
      <c r="A299" s="1">
        <v>145</v>
      </c>
      <c r="B299" t="s">
        <v>518</v>
      </c>
      <c r="C299" t="s">
        <v>519</v>
      </c>
    </row>
    <row r="300" spans="1:3" x14ac:dyDescent="0.25">
      <c r="A300" s="1">
        <v>146</v>
      </c>
      <c r="B300" t="s">
        <v>520</v>
      </c>
      <c r="C300" t="s">
        <v>521</v>
      </c>
    </row>
    <row r="301" spans="1:3" x14ac:dyDescent="0.25">
      <c r="A301" s="1">
        <v>147</v>
      </c>
      <c r="B301" t="s">
        <v>522</v>
      </c>
      <c r="C301" t="s">
        <v>523</v>
      </c>
    </row>
    <row r="302" spans="1:3" x14ac:dyDescent="0.25">
      <c r="A302" s="1">
        <v>148</v>
      </c>
      <c r="B302" t="s">
        <v>524</v>
      </c>
      <c r="C302" t="s">
        <v>525</v>
      </c>
    </row>
    <row r="303" spans="1:3" x14ac:dyDescent="0.25">
      <c r="A303" s="1">
        <v>149</v>
      </c>
      <c r="B303" t="s">
        <v>526</v>
      </c>
      <c r="C303" t="s">
        <v>527</v>
      </c>
    </row>
    <row r="304" spans="1:3" x14ac:dyDescent="0.25">
      <c r="A304" s="1">
        <v>150</v>
      </c>
      <c r="B304" t="s">
        <v>528</v>
      </c>
      <c r="C304" t="s">
        <v>529</v>
      </c>
    </row>
    <row r="305" spans="1:3" x14ac:dyDescent="0.25">
      <c r="A305" s="1">
        <v>151</v>
      </c>
      <c r="B305" t="s">
        <v>530</v>
      </c>
      <c r="C305" t="s">
        <v>531</v>
      </c>
    </row>
    <row r="306" spans="1:3" x14ac:dyDescent="0.25">
      <c r="A306" s="1">
        <v>152</v>
      </c>
      <c r="B306" t="s">
        <v>532</v>
      </c>
      <c r="C306" t="s">
        <v>533</v>
      </c>
    </row>
    <row r="307" spans="1:3" x14ac:dyDescent="0.25">
      <c r="A307" s="1">
        <v>153</v>
      </c>
      <c r="B307" t="s">
        <v>534</v>
      </c>
      <c r="C307" t="s">
        <v>535</v>
      </c>
    </row>
    <row r="308" spans="1:3" x14ac:dyDescent="0.25">
      <c r="A308" s="1">
        <v>154</v>
      </c>
      <c r="B308" t="s">
        <v>536</v>
      </c>
      <c r="C308" t="s">
        <v>537</v>
      </c>
    </row>
    <row r="309" spans="1:3" x14ac:dyDescent="0.25">
      <c r="A309" s="1">
        <v>155</v>
      </c>
      <c r="B309" t="s">
        <v>538</v>
      </c>
      <c r="C309" t="s">
        <v>539</v>
      </c>
    </row>
    <row r="310" spans="1:3" x14ac:dyDescent="0.25">
      <c r="A310" s="1">
        <v>156</v>
      </c>
      <c r="B310" t="s">
        <v>540</v>
      </c>
      <c r="C310" t="s">
        <v>541</v>
      </c>
    </row>
    <row r="311" spans="1:3" x14ac:dyDescent="0.25">
      <c r="A311" s="1">
        <v>157</v>
      </c>
      <c r="B311" t="s">
        <v>542</v>
      </c>
      <c r="C311" t="s">
        <v>543</v>
      </c>
    </row>
    <row r="312" spans="1:3" x14ac:dyDescent="0.25">
      <c r="A312" s="1">
        <v>158</v>
      </c>
      <c r="B312" t="s">
        <v>544</v>
      </c>
      <c r="C312" t="s">
        <v>545</v>
      </c>
    </row>
    <row r="313" spans="1:3" x14ac:dyDescent="0.25">
      <c r="A313" s="1">
        <v>159</v>
      </c>
      <c r="B313" t="s">
        <v>546</v>
      </c>
      <c r="C313" t="s">
        <v>547</v>
      </c>
    </row>
    <row r="314" spans="1:3" x14ac:dyDescent="0.25">
      <c r="A314" s="1">
        <v>160</v>
      </c>
      <c r="B314" t="s">
        <v>548</v>
      </c>
      <c r="C314" t="s">
        <v>549</v>
      </c>
    </row>
    <row r="315" spans="1:3" x14ac:dyDescent="0.25">
      <c r="A315" s="1">
        <v>161</v>
      </c>
      <c r="B315" t="s">
        <v>550</v>
      </c>
      <c r="C315" t="s">
        <v>551</v>
      </c>
    </row>
    <row r="316" spans="1:3" x14ac:dyDescent="0.25">
      <c r="A316" s="1">
        <v>162</v>
      </c>
      <c r="B316" t="s">
        <v>552</v>
      </c>
      <c r="C316" t="s">
        <v>553</v>
      </c>
    </row>
    <row r="317" spans="1:3" x14ac:dyDescent="0.25">
      <c r="A317" s="1">
        <v>163</v>
      </c>
      <c r="B317" t="s">
        <v>554</v>
      </c>
      <c r="C317" t="s">
        <v>555</v>
      </c>
    </row>
    <row r="318" spans="1:3" x14ac:dyDescent="0.25">
      <c r="A318" s="1">
        <v>164</v>
      </c>
      <c r="B318" t="s">
        <v>556</v>
      </c>
      <c r="C318" t="s">
        <v>557</v>
      </c>
    </row>
    <row r="319" spans="1:3" x14ac:dyDescent="0.25">
      <c r="A319" s="1">
        <v>165</v>
      </c>
      <c r="B319" t="s">
        <v>558</v>
      </c>
      <c r="C319" t="s">
        <v>559</v>
      </c>
    </row>
    <row r="320" spans="1:3" x14ac:dyDescent="0.25">
      <c r="A320" s="1">
        <v>166</v>
      </c>
      <c r="B320" t="s">
        <v>560</v>
      </c>
      <c r="C320" t="s">
        <v>561</v>
      </c>
    </row>
    <row r="321" spans="1:3" x14ac:dyDescent="0.25">
      <c r="A321" s="1">
        <v>167</v>
      </c>
      <c r="B321" t="s">
        <v>562</v>
      </c>
      <c r="C321" t="s">
        <v>563</v>
      </c>
    </row>
    <row r="322" spans="1:3" x14ac:dyDescent="0.25">
      <c r="A322" s="1">
        <v>168</v>
      </c>
      <c r="B322" t="s">
        <v>564</v>
      </c>
      <c r="C322" t="s">
        <v>565</v>
      </c>
    </row>
    <row r="323" spans="1:3" x14ac:dyDescent="0.25">
      <c r="A323" s="1">
        <v>169</v>
      </c>
      <c r="B323" t="s">
        <v>566</v>
      </c>
      <c r="C323" t="s">
        <v>567</v>
      </c>
    </row>
    <row r="324" spans="1:3" x14ac:dyDescent="0.25">
      <c r="A324" s="1">
        <v>170</v>
      </c>
      <c r="B324" t="s">
        <v>568</v>
      </c>
      <c r="C324" t="s">
        <v>569</v>
      </c>
    </row>
    <row r="325" spans="1:3" x14ac:dyDescent="0.25">
      <c r="A325" s="1">
        <v>171</v>
      </c>
      <c r="B325" t="s">
        <v>570</v>
      </c>
      <c r="C325" t="s">
        <v>571</v>
      </c>
    </row>
    <row r="326" spans="1:3" x14ac:dyDescent="0.25">
      <c r="A326" s="1">
        <v>172</v>
      </c>
      <c r="B326" t="s">
        <v>572</v>
      </c>
      <c r="C326" t="s">
        <v>573</v>
      </c>
    </row>
    <row r="327" spans="1:3" x14ac:dyDescent="0.25">
      <c r="A327" s="1">
        <v>173</v>
      </c>
      <c r="B327" t="s">
        <v>574</v>
      </c>
      <c r="C327" t="s">
        <v>575</v>
      </c>
    </row>
    <row r="328" spans="1:3" x14ac:dyDescent="0.25">
      <c r="A328" s="1">
        <v>174</v>
      </c>
      <c r="B328" t="s">
        <v>576</v>
      </c>
      <c r="C328" t="s">
        <v>577</v>
      </c>
    </row>
    <row r="329" spans="1:3" x14ac:dyDescent="0.25">
      <c r="A329" s="1">
        <v>175</v>
      </c>
      <c r="B329" t="s">
        <v>578</v>
      </c>
      <c r="C329" t="s">
        <v>579</v>
      </c>
    </row>
    <row r="330" spans="1:3" x14ac:dyDescent="0.25">
      <c r="A330" s="1">
        <v>176</v>
      </c>
      <c r="B330" t="s">
        <v>580</v>
      </c>
      <c r="C330" t="s">
        <v>581</v>
      </c>
    </row>
    <row r="331" spans="1:3" x14ac:dyDescent="0.25">
      <c r="A331" s="1">
        <v>177</v>
      </c>
      <c r="B331" t="s">
        <v>582</v>
      </c>
      <c r="C331" t="s">
        <v>583</v>
      </c>
    </row>
    <row r="332" spans="1:3" x14ac:dyDescent="0.25">
      <c r="A332" s="1">
        <v>178</v>
      </c>
      <c r="B332" t="s">
        <v>584</v>
      </c>
      <c r="C332" t="s">
        <v>585</v>
      </c>
    </row>
    <row r="333" spans="1:3" x14ac:dyDescent="0.25">
      <c r="A333" s="1">
        <v>179</v>
      </c>
      <c r="B333" t="s">
        <v>586</v>
      </c>
      <c r="C333" t="s">
        <v>587</v>
      </c>
    </row>
    <row r="334" spans="1:3" x14ac:dyDescent="0.25">
      <c r="A334" s="1">
        <v>180</v>
      </c>
      <c r="B334" t="s">
        <v>588</v>
      </c>
      <c r="C334" t="s">
        <v>589</v>
      </c>
    </row>
    <row r="335" spans="1:3" x14ac:dyDescent="0.25">
      <c r="A335" s="1">
        <v>181</v>
      </c>
      <c r="B335" t="s">
        <v>590</v>
      </c>
      <c r="C335" t="s">
        <v>591</v>
      </c>
    </row>
    <row r="336" spans="1:3" x14ac:dyDescent="0.25">
      <c r="A336" s="1">
        <v>182</v>
      </c>
      <c r="B336" t="s">
        <v>592</v>
      </c>
      <c r="C336" t="s">
        <v>593</v>
      </c>
    </row>
    <row r="337" spans="1:3" x14ac:dyDescent="0.25">
      <c r="A337" s="1">
        <v>183</v>
      </c>
      <c r="B337" t="s">
        <v>594</v>
      </c>
      <c r="C337" t="s">
        <v>595</v>
      </c>
    </row>
    <row r="338" spans="1:3" x14ac:dyDescent="0.25">
      <c r="A338" s="1">
        <v>184</v>
      </c>
      <c r="B338" t="s">
        <v>596</v>
      </c>
      <c r="C338" t="s">
        <v>597</v>
      </c>
    </row>
    <row r="339" spans="1:3" x14ac:dyDescent="0.25">
      <c r="A339" s="1">
        <v>185</v>
      </c>
      <c r="B339" t="s">
        <v>598</v>
      </c>
      <c r="C339" t="s">
        <v>599</v>
      </c>
    </row>
    <row r="340" spans="1:3" x14ac:dyDescent="0.25">
      <c r="A340" s="1">
        <v>186</v>
      </c>
      <c r="B340" t="s">
        <v>600</v>
      </c>
      <c r="C340" t="s">
        <v>601</v>
      </c>
    </row>
    <row r="341" spans="1:3" x14ac:dyDescent="0.25">
      <c r="A341" s="1">
        <v>187</v>
      </c>
      <c r="B341" t="s">
        <v>602</v>
      </c>
      <c r="C341" t="s">
        <v>603</v>
      </c>
    </row>
    <row r="342" spans="1:3" x14ac:dyDescent="0.25">
      <c r="A342" s="1">
        <v>188</v>
      </c>
      <c r="B342" t="s">
        <v>604</v>
      </c>
      <c r="C342" t="s">
        <v>605</v>
      </c>
    </row>
    <row r="343" spans="1:3" x14ac:dyDescent="0.25">
      <c r="A343" s="1">
        <v>189</v>
      </c>
      <c r="B343" t="s">
        <v>606</v>
      </c>
      <c r="C343" t="s">
        <v>607</v>
      </c>
    </row>
    <row r="344" spans="1:3" x14ac:dyDescent="0.25">
      <c r="A344" s="1">
        <v>190</v>
      </c>
      <c r="B344" t="s">
        <v>608</v>
      </c>
      <c r="C344" t="s">
        <v>609</v>
      </c>
    </row>
    <row r="345" spans="1:3" x14ac:dyDescent="0.25">
      <c r="A345" s="1">
        <v>191</v>
      </c>
      <c r="B345" t="s">
        <v>610</v>
      </c>
      <c r="C345" t="s">
        <v>611</v>
      </c>
    </row>
    <row r="346" spans="1:3" x14ac:dyDescent="0.25">
      <c r="A346" s="1">
        <v>192</v>
      </c>
      <c r="B346" t="s">
        <v>612</v>
      </c>
      <c r="C346" t="s">
        <v>613</v>
      </c>
    </row>
    <row r="347" spans="1:3" x14ac:dyDescent="0.25">
      <c r="A347" s="1">
        <v>193</v>
      </c>
      <c r="B347" t="s">
        <v>614</v>
      </c>
      <c r="C347" t="s">
        <v>615</v>
      </c>
    </row>
    <row r="348" spans="1:3" x14ac:dyDescent="0.25">
      <c r="A348" s="1">
        <v>194</v>
      </c>
      <c r="B348" t="s">
        <v>616</v>
      </c>
      <c r="C348" t="s">
        <v>617</v>
      </c>
    </row>
    <row r="349" spans="1:3" x14ac:dyDescent="0.25">
      <c r="A349" s="1">
        <v>195</v>
      </c>
      <c r="B349" t="s">
        <v>618</v>
      </c>
      <c r="C349" t="s">
        <v>619</v>
      </c>
    </row>
    <row r="350" spans="1:3" x14ac:dyDescent="0.25">
      <c r="A350" s="1">
        <v>196</v>
      </c>
      <c r="B350" t="s">
        <v>620</v>
      </c>
      <c r="C350" t="s">
        <v>621</v>
      </c>
    </row>
    <row r="351" spans="1:3" x14ac:dyDescent="0.25">
      <c r="A351" s="1">
        <v>197</v>
      </c>
      <c r="B351" t="s">
        <v>622</v>
      </c>
      <c r="C351" t="s">
        <v>623</v>
      </c>
    </row>
    <row r="352" spans="1:3" x14ac:dyDescent="0.25">
      <c r="A352" s="1">
        <v>198</v>
      </c>
      <c r="B352" t="s">
        <v>624</v>
      </c>
      <c r="C352" t="s">
        <v>625</v>
      </c>
    </row>
    <row r="353" spans="1:3" x14ac:dyDescent="0.25">
      <c r="A353" s="1">
        <v>199</v>
      </c>
      <c r="B353" t="s">
        <v>626</v>
      </c>
      <c r="C353" t="s">
        <v>627</v>
      </c>
    </row>
    <row r="354" spans="1:3" x14ac:dyDescent="0.25">
      <c r="A354" s="1">
        <v>200</v>
      </c>
      <c r="B354" t="s">
        <v>628</v>
      </c>
      <c r="C354" t="s">
        <v>629</v>
      </c>
    </row>
    <row r="355" spans="1:3" x14ac:dyDescent="0.25">
      <c r="A355" s="1">
        <v>201</v>
      </c>
      <c r="B355" t="s">
        <v>630</v>
      </c>
      <c r="C355" t="s">
        <v>631</v>
      </c>
    </row>
    <row r="356" spans="1:3" x14ac:dyDescent="0.25">
      <c r="A356" s="1">
        <v>202</v>
      </c>
      <c r="B356" t="s">
        <v>632</v>
      </c>
      <c r="C356" t="s">
        <v>633</v>
      </c>
    </row>
    <row r="357" spans="1:3" x14ac:dyDescent="0.25">
      <c r="A357" s="1">
        <v>203</v>
      </c>
      <c r="B357" t="s">
        <v>634</v>
      </c>
      <c r="C357" t="s">
        <v>635</v>
      </c>
    </row>
    <row r="358" spans="1:3" x14ac:dyDescent="0.25">
      <c r="A358" s="1">
        <v>204</v>
      </c>
      <c r="B358" t="s">
        <v>636</v>
      </c>
      <c r="C358" t="s">
        <v>637</v>
      </c>
    </row>
    <row r="359" spans="1:3" x14ac:dyDescent="0.25">
      <c r="A359" s="1">
        <v>205</v>
      </c>
      <c r="B359" t="s">
        <v>638</v>
      </c>
      <c r="C359" t="s">
        <v>639</v>
      </c>
    </row>
    <row r="360" spans="1:3" x14ac:dyDescent="0.25">
      <c r="A360" s="1">
        <v>206</v>
      </c>
      <c r="B360" t="s">
        <v>640</v>
      </c>
      <c r="C360" t="s">
        <v>641</v>
      </c>
    </row>
    <row r="361" spans="1:3" x14ac:dyDescent="0.25">
      <c r="A361" s="1">
        <v>207</v>
      </c>
      <c r="B361" t="s">
        <v>642</v>
      </c>
      <c r="C361" t="s">
        <v>643</v>
      </c>
    </row>
    <row r="362" spans="1:3" x14ac:dyDescent="0.25">
      <c r="A362" s="1">
        <v>208</v>
      </c>
      <c r="B362" t="s">
        <v>644</v>
      </c>
      <c r="C362" t="s">
        <v>645</v>
      </c>
    </row>
    <row r="363" spans="1:3" x14ac:dyDescent="0.25">
      <c r="A363" s="1">
        <v>209</v>
      </c>
      <c r="B363" t="s">
        <v>646</v>
      </c>
      <c r="C363" t="s">
        <v>647</v>
      </c>
    </row>
    <row r="364" spans="1:3" x14ac:dyDescent="0.25">
      <c r="A364" s="1">
        <v>210</v>
      </c>
      <c r="B364" t="s">
        <v>648</v>
      </c>
      <c r="C364" t="s">
        <v>649</v>
      </c>
    </row>
    <row r="365" spans="1:3" x14ac:dyDescent="0.25">
      <c r="A365" s="1">
        <v>211</v>
      </c>
      <c r="B365" t="s">
        <v>650</v>
      </c>
      <c r="C365" t="s">
        <v>651</v>
      </c>
    </row>
    <row r="366" spans="1:3" x14ac:dyDescent="0.25">
      <c r="A366" s="1">
        <v>212</v>
      </c>
      <c r="B366" t="s">
        <v>652</v>
      </c>
      <c r="C366" t="s">
        <v>653</v>
      </c>
    </row>
    <row r="367" spans="1:3" x14ac:dyDescent="0.25">
      <c r="A367" s="1">
        <v>213</v>
      </c>
      <c r="B367" t="s">
        <v>654</v>
      </c>
      <c r="C367" t="s">
        <v>655</v>
      </c>
    </row>
    <row r="368" spans="1:3" x14ac:dyDescent="0.25">
      <c r="A368" s="1">
        <v>214</v>
      </c>
      <c r="B368" t="s">
        <v>656</v>
      </c>
      <c r="C368" t="s">
        <v>657</v>
      </c>
    </row>
    <row r="369" spans="1:3" x14ac:dyDescent="0.25">
      <c r="A369" s="1">
        <v>215</v>
      </c>
      <c r="B369" t="s">
        <v>658</v>
      </c>
      <c r="C369" t="s">
        <v>659</v>
      </c>
    </row>
    <row r="370" spans="1:3" x14ac:dyDescent="0.25">
      <c r="A370" s="1">
        <v>216</v>
      </c>
      <c r="B370" t="s">
        <v>660</v>
      </c>
      <c r="C370" t="s">
        <v>661</v>
      </c>
    </row>
    <row r="371" spans="1:3" x14ac:dyDescent="0.25">
      <c r="A371" s="1">
        <v>217</v>
      </c>
      <c r="B371" t="s">
        <v>662</v>
      </c>
      <c r="C371" t="s">
        <v>663</v>
      </c>
    </row>
    <row r="372" spans="1:3" x14ac:dyDescent="0.25">
      <c r="A372" s="1">
        <v>218</v>
      </c>
      <c r="B372" t="s">
        <v>664</v>
      </c>
      <c r="C372" t="s">
        <v>665</v>
      </c>
    </row>
    <row r="373" spans="1:3" x14ac:dyDescent="0.25">
      <c r="A373" s="1">
        <v>219</v>
      </c>
      <c r="B373" t="s">
        <v>666</v>
      </c>
      <c r="C373" t="s">
        <v>667</v>
      </c>
    </row>
    <row r="374" spans="1:3" x14ac:dyDescent="0.25">
      <c r="A374" s="1">
        <v>220</v>
      </c>
      <c r="B374" t="s">
        <v>668</v>
      </c>
      <c r="C374" t="s">
        <v>669</v>
      </c>
    </row>
    <row r="375" spans="1:3" x14ac:dyDescent="0.25">
      <c r="A375" s="1">
        <v>221</v>
      </c>
      <c r="B375" t="s">
        <v>670</v>
      </c>
      <c r="C375" t="s">
        <v>671</v>
      </c>
    </row>
    <row r="376" spans="1:3" x14ac:dyDescent="0.25">
      <c r="A376" s="1">
        <v>222</v>
      </c>
      <c r="B376" t="s">
        <v>672</v>
      </c>
      <c r="C376" t="s">
        <v>673</v>
      </c>
    </row>
    <row r="377" spans="1:3" x14ac:dyDescent="0.25">
      <c r="A377" s="1">
        <v>223</v>
      </c>
      <c r="B377" t="s">
        <v>674</v>
      </c>
      <c r="C377" t="s">
        <v>675</v>
      </c>
    </row>
    <row r="378" spans="1:3" x14ac:dyDescent="0.25">
      <c r="A378" s="1">
        <v>224</v>
      </c>
      <c r="B378" t="s">
        <v>676</v>
      </c>
      <c r="C378" t="s">
        <v>677</v>
      </c>
    </row>
    <row r="379" spans="1:3" x14ac:dyDescent="0.25">
      <c r="A379" s="1">
        <v>225</v>
      </c>
      <c r="B379" t="s">
        <v>678</v>
      </c>
      <c r="C379" t="s">
        <v>679</v>
      </c>
    </row>
    <row r="380" spans="1:3" x14ac:dyDescent="0.25">
      <c r="A380" s="1">
        <v>226</v>
      </c>
      <c r="B380" t="s">
        <v>680</v>
      </c>
      <c r="C380" t="s">
        <v>681</v>
      </c>
    </row>
    <row r="381" spans="1:3" x14ac:dyDescent="0.25">
      <c r="A381" s="1">
        <v>227</v>
      </c>
      <c r="B381" t="s">
        <v>682</v>
      </c>
      <c r="C381" t="s">
        <v>683</v>
      </c>
    </row>
    <row r="382" spans="1:3" x14ac:dyDescent="0.25">
      <c r="A382" s="1">
        <v>228</v>
      </c>
      <c r="B382" t="s">
        <v>684</v>
      </c>
      <c r="C382" t="s">
        <v>685</v>
      </c>
    </row>
    <row r="383" spans="1:3" x14ac:dyDescent="0.25">
      <c r="A383" s="1">
        <v>229</v>
      </c>
      <c r="B383" t="s">
        <v>686</v>
      </c>
      <c r="C383" t="s">
        <v>687</v>
      </c>
    </row>
    <row r="384" spans="1:3" x14ac:dyDescent="0.25">
      <c r="A384" s="1">
        <v>230</v>
      </c>
      <c r="B384" t="s">
        <v>688</v>
      </c>
      <c r="C384" t="s">
        <v>689</v>
      </c>
    </row>
    <row r="385" spans="1:3" x14ac:dyDescent="0.25">
      <c r="A385" s="1">
        <v>231</v>
      </c>
      <c r="B385" t="s">
        <v>690</v>
      </c>
      <c r="C385" t="s">
        <v>691</v>
      </c>
    </row>
    <row r="386" spans="1:3" x14ac:dyDescent="0.25">
      <c r="A386" s="1">
        <v>232</v>
      </c>
      <c r="B386" t="s">
        <v>692</v>
      </c>
      <c r="C386" t="s">
        <v>693</v>
      </c>
    </row>
    <row r="387" spans="1:3" x14ac:dyDescent="0.25">
      <c r="A387" s="1">
        <v>233</v>
      </c>
      <c r="B387" t="s">
        <v>694</v>
      </c>
      <c r="C387" t="s">
        <v>695</v>
      </c>
    </row>
    <row r="388" spans="1:3" x14ac:dyDescent="0.25">
      <c r="A388" s="1">
        <v>234</v>
      </c>
      <c r="B388" t="s">
        <v>696</v>
      </c>
      <c r="C388" t="s">
        <v>697</v>
      </c>
    </row>
    <row r="389" spans="1:3" x14ac:dyDescent="0.25">
      <c r="A389" s="1">
        <v>235</v>
      </c>
      <c r="B389" t="s">
        <v>698</v>
      </c>
      <c r="C389" t="s">
        <v>699</v>
      </c>
    </row>
    <row r="390" spans="1:3" x14ac:dyDescent="0.25">
      <c r="A390" s="1">
        <v>236</v>
      </c>
      <c r="B390" t="s">
        <v>700</v>
      </c>
      <c r="C390" t="s">
        <v>701</v>
      </c>
    </row>
    <row r="391" spans="1:3" x14ac:dyDescent="0.25">
      <c r="A391" s="1">
        <v>237</v>
      </c>
      <c r="B391" t="s">
        <v>702</v>
      </c>
      <c r="C391" t="s">
        <v>703</v>
      </c>
    </row>
    <row r="392" spans="1:3" x14ac:dyDescent="0.25">
      <c r="A392" s="1">
        <v>238</v>
      </c>
      <c r="B392" t="s">
        <v>704</v>
      </c>
      <c r="C392" t="s">
        <v>705</v>
      </c>
    </row>
    <row r="393" spans="1:3" x14ac:dyDescent="0.25">
      <c r="A393" s="1">
        <v>239</v>
      </c>
      <c r="B393" t="s">
        <v>706</v>
      </c>
      <c r="C393" t="s">
        <v>707</v>
      </c>
    </row>
    <row r="394" spans="1:3" x14ac:dyDescent="0.25">
      <c r="A394" s="1">
        <v>240</v>
      </c>
      <c r="B394" t="s">
        <v>708</v>
      </c>
      <c r="C394" t="s">
        <v>709</v>
      </c>
    </row>
    <row r="395" spans="1:3" x14ac:dyDescent="0.25">
      <c r="A395" s="1">
        <v>241</v>
      </c>
      <c r="B395" t="s">
        <v>710</v>
      </c>
      <c r="C395" t="s">
        <v>711</v>
      </c>
    </row>
    <row r="396" spans="1:3" x14ac:dyDescent="0.25">
      <c r="A396" s="1">
        <v>242</v>
      </c>
      <c r="B396" t="s">
        <v>712</v>
      </c>
      <c r="C396" t="s">
        <v>713</v>
      </c>
    </row>
    <row r="397" spans="1:3" x14ac:dyDescent="0.25">
      <c r="A397" s="1">
        <v>243</v>
      </c>
      <c r="B397" t="s">
        <v>714</v>
      </c>
      <c r="C397" t="s">
        <v>715</v>
      </c>
    </row>
    <row r="398" spans="1:3" x14ac:dyDescent="0.25">
      <c r="A398" s="1">
        <v>244</v>
      </c>
      <c r="B398" t="s">
        <v>716</v>
      </c>
      <c r="C398" t="s">
        <v>717</v>
      </c>
    </row>
    <row r="399" spans="1:3" x14ac:dyDescent="0.25">
      <c r="A399" s="1">
        <v>245</v>
      </c>
      <c r="B399" t="s">
        <v>718</v>
      </c>
      <c r="C399" t="s">
        <v>719</v>
      </c>
    </row>
    <row r="400" spans="1:3" x14ac:dyDescent="0.25">
      <c r="A400" s="1">
        <v>246</v>
      </c>
      <c r="B400" t="s">
        <v>720</v>
      </c>
      <c r="C400" t="s">
        <v>721</v>
      </c>
    </row>
    <row r="403" spans="1:3" x14ac:dyDescent="0.25">
      <c r="A403" s="29" t="s">
        <v>722</v>
      </c>
      <c r="B403" s="30"/>
      <c r="C403" s="30" t="s">
        <v>1</v>
      </c>
    </row>
    <row r="404" spans="1:3" x14ac:dyDescent="0.25">
      <c r="A404" s="1" t="s">
        <v>723</v>
      </c>
      <c r="B404" t="s">
        <v>724</v>
      </c>
      <c r="C404" t="s">
        <v>725</v>
      </c>
    </row>
    <row r="405" spans="1:3" x14ac:dyDescent="0.25">
      <c r="A405" s="1" t="s">
        <v>726</v>
      </c>
      <c r="B405" t="s">
        <v>727</v>
      </c>
      <c r="C405" t="s">
        <v>728</v>
      </c>
    </row>
    <row r="406" spans="1:3" x14ac:dyDescent="0.25">
      <c r="A406" s="1" t="s">
        <v>729</v>
      </c>
      <c r="B406" t="s">
        <v>730</v>
      </c>
      <c r="C406" t="s">
        <v>731</v>
      </c>
    </row>
    <row r="407" spans="1:3" x14ac:dyDescent="0.25">
      <c r="A407" s="1" t="s">
        <v>732</v>
      </c>
      <c r="B407" t="s">
        <v>733</v>
      </c>
      <c r="C407" t="s">
        <v>734</v>
      </c>
    </row>
    <row r="408" spans="1:3" x14ac:dyDescent="0.25">
      <c r="A408" s="1" t="s">
        <v>735</v>
      </c>
      <c r="B408" t="s">
        <v>736</v>
      </c>
      <c r="C408" t="s">
        <v>737</v>
      </c>
    </row>
    <row r="409" spans="1:3" x14ac:dyDescent="0.25">
      <c r="A409" s="1" t="s">
        <v>738</v>
      </c>
      <c r="B409" t="s">
        <v>739</v>
      </c>
      <c r="C409" t="s">
        <v>740</v>
      </c>
    </row>
    <row r="410" spans="1:3" x14ac:dyDescent="0.25">
      <c r="A410" s="1" t="s">
        <v>741</v>
      </c>
      <c r="B410" t="s">
        <v>742</v>
      </c>
      <c r="C410" t="s">
        <v>743</v>
      </c>
    </row>
    <row r="411" spans="1:3" x14ac:dyDescent="0.25">
      <c r="A411" s="1" t="s">
        <v>744</v>
      </c>
      <c r="B411" t="s">
        <v>745</v>
      </c>
      <c r="C411" t="s">
        <v>746</v>
      </c>
    </row>
    <row r="412" spans="1:3" x14ac:dyDescent="0.25">
      <c r="A412" s="1" t="s">
        <v>747</v>
      </c>
      <c r="B412" t="s">
        <v>748</v>
      </c>
      <c r="C412" t="s">
        <v>749</v>
      </c>
    </row>
    <row r="413" spans="1:3" x14ac:dyDescent="0.25">
      <c r="A413" s="1" t="s">
        <v>750</v>
      </c>
      <c r="B413" t="s">
        <v>751</v>
      </c>
      <c r="C413" t="s">
        <v>752</v>
      </c>
    </row>
    <row r="414" spans="1:3" x14ac:dyDescent="0.25">
      <c r="A414" s="1" t="s">
        <v>753</v>
      </c>
      <c r="B414" t="s">
        <v>754</v>
      </c>
      <c r="C414" t="s">
        <v>755</v>
      </c>
    </row>
    <row r="415" spans="1:3" x14ac:dyDescent="0.25">
      <c r="A415" s="1" t="s">
        <v>756</v>
      </c>
      <c r="B415" t="s">
        <v>757</v>
      </c>
      <c r="C415" t="s">
        <v>758</v>
      </c>
    </row>
    <row r="416" spans="1:3" x14ac:dyDescent="0.25">
      <c r="A416" s="1" t="s">
        <v>759</v>
      </c>
      <c r="B416" t="s">
        <v>760</v>
      </c>
      <c r="C416" t="s">
        <v>761</v>
      </c>
    </row>
    <row r="417" spans="1:3" x14ac:dyDescent="0.25">
      <c r="A417" s="1" t="s">
        <v>762</v>
      </c>
      <c r="B417" t="s">
        <v>763</v>
      </c>
      <c r="C417" t="s">
        <v>764</v>
      </c>
    </row>
    <row r="418" spans="1:3" x14ac:dyDescent="0.25">
      <c r="A418" s="1" t="s">
        <v>765</v>
      </c>
      <c r="B418" t="s">
        <v>766</v>
      </c>
      <c r="C418" t="s">
        <v>767</v>
      </c>
    </row>
    <row r="419" spans="1:3" x14ac:dyDescent="0.25">
      <c r="A419" s="1" t="s">
        <v>768</v>
      </c>
      <c r="B419" t="s">
        <v>769</v>
      </c>
      <c r="C419" t="s">
        <v>770</v>
      </c>
    </row>
    <row r="420" spans="1:3" x14ac:dyDescent="0.25">
      <c r="A420" s="1" t="s">
        <v>771</v>
      </c>
      <c r="B420" t="s">
        <v>772</v>
      </c>
      <c r="C420" t="s">
        <v>773</v>
      </c>
    </row>
    <row r="421" spans="1:3" x14ac:dyDescent="0.25">
      <c r="A421" s="1" t="s">
        <v>774</v>
      </c>
      <c r="B421" t="s">
        <v>775</v>
      </c>
      <c r="C421" t="s">
        <v>776</v>
      </c>
    </row>
    <row r="422" spans="1:3" x14ac:dyDescent="0.25">
      <c r="A422" s="1" t="s">
        <v>777</v>
      </c>
      <c r="B422" t="s">
        <v>778</v>
      </c>
      <c r="C422" t="s">
        <v>779</v>
      </c>
    </row>
    <row r="423" spans="1:3" x14ac:dyDescent="0.25">
      <c r="A423" s="1" t="s">
        <v>780</v>
      </c>
      <c r="B423" t="s">
        <v>781</v>
      </c>
      <c r="C423" t="s">
        <v>782</v>
      </c>
    </row>
    <row r="424" spans="1:3" x14ac:dyDescent="0.25">
      <c r="A424" s="1" t="s">
        <v>783</v>
      </c>
      <c r="B424" t="s">
        <v>784</v>
      </c>
      <c r="C424" t="s">
        <v>785</v>
      </c>
    </row>
    <row r="425" spans="1:3" x14ac:dyDescent="0.25">
      <c r="A425" s="1" t="s">
        <v>786</v>
      </c>
      <c r="B425" t="s">
        <v>787</v>
      </c>
      <c r="C425" t="s">
        <v>788</v>
      </c>
    </row>
    <row r="426" spans="1:3" x14ac:dyDescent="0.25">
      <c r="A426" s="1" t="s">
        <v>789</v>
      </c>
      <c r="B426" t="s">
        <v>790</v>
      </c>
      <c r="C426" t="s">
        <v>791</v>
      </c>
    </row>
    <row r="427" spans="1:3" x14ac:dyDescent="0.25">
      <c r="A427" s="1" t="s">
        <v>792</v>
      </c>
      <c r="B427" t="s">
        <v>793</v>
      </c>
      <c r="C427" t="s">
        <v>794</v>
      </c>
    </row>
    <row r="428" spans="1:3" x14ac:dyDescent="0.25">
      <c r="A428" s="1" t="s">
        <v>795</v>
      </c>
      <c r="B428" t="s">
        <v>796</v>
      </c>
      <c r="C428" t="s">
        <v>797</v>
      </c>
    </row>
    <row r="429" spans="1:3" x14ac:dyDescent="0.25">
      <c r="A429" s="1" t="s">
        <v>798</v>
      </c>
      <c r="B429" t="s">
        <v>799</v>
      </c>
      <c r="C429" t="s">
        <v>800</v>
      </c>
    </row>
    <row r="430" spans="1:3" x14ac:dyDescent="0.25">
      <c r="A430" s="1" t="s">
        <v>801</v>
      </c>
      <c r="B430" t="s">
        <v>802</v>
      </c>
      <c r="C430" t="s">
        <v>803</v>
      </c>
    </row>
    <row r="431" spans="1:3" x14ac:dyDescent="0.25">
      <c r="A431" s="1" t="s">
        <v>804</v>
      </c>
      <c r="B431" t="s">
        <v>805</v>
      </c>
      <c r="C431" t="s">
        <v>806</v>
      </c>
    </row>
    <row r="432" spans="1:3" x14ac:dyDescent="0.25">
      <c r="A432" s="1" t="s">
        <v>807</v>
      </c>
      <c r="B432" t="s">
        <v>808</v>
      </c>
      <c r="C432" t="s">
        <v>809</v>
      </c>
    </row>
    <row r="433" spans="1:3" x14ac:dyDescent="0.25">
      <c r="A433" s="1" t="s">
        <v>810</v>
      </c>
      <c r="B433" t="s">
        <v>811</v>
      </c>
      <c r="C433" t="s">
        <v>812</v>
      </c>
    </row>
    <row r="434" spans="1:3" x14ac:dyDescent="0.25">
      <c r="A434" s="1" t="s">
        <v>813</v>
      </c>
      <c r="B434" t="s">
        <v>814</v>
      </c>
      <c r="C434" t="s">
        <v>815</v>
      </c>
    </row>
    <row r="435" spans="1:3" x14ac:dyDescent="0.25">
      <c r="A435" s="1" t="s">
        <v>816</v>
      </c>
      <c r="B435" t="s">
        <v>817</v>
      </c>
      <c r="C435" t="s">
        <v>818</v>
      </c>
    </row>
    <row r="436" spans="1:3" x14ac:dyDescent="0.25">
      <c r="A436" s="1" t="s">
        <v>819</v>
      </c>
      <c r="B436" t="s">
        <v>820</v>
      </c>
      <c r="C436" t="s">
        <v>821</v>
      </c>
    </row>
    <row r="437" spans="1:3" x14ac:dyDescent="0.25">
      <c r="A437" s="1" t="s">
        <v>822</v>
      </c>
      <c r="B437" t="s">
        <v>823</v>
      </c>
      <c r="C437" t="s">
        <v>824</v>
      </c>
    </row>
    <row r="438" spans="1:3" x14ac:dyDescent="0.25">
      <c r="A438" s="1" t="s">
        <v>825</v>
      </c>
      <c r="B438" t="s">
        <v>826</v>
      </c>
      <c r="C438" t="s">
        <v>827</v>
      </c>
    </row>
    <row r="439" spans="1:3" x14ac:dyDescent="0.25">
      <c r="A439" s="1" t="s">
        <v>828</v>
      </c>
      <c r="B439" t="s">
        <v>829</v>
      </c>
      <c r="C439" t="s">
        <v>830</v>
      </c>
    </row>
    <row r="440" spans="1:3" x14ac:dyDescent="0.25">
      <c r="A440" s="1" t="s">
        <v>831</v>
      </c>
      <c r="B440" t="s">
        <v>832</v>
      </c>
      <c r="C440" t="s">
        <v>833</v>
      </c>
    </row>
    <row r="441" spans="1:3" x14ac:dyDescent="0.25">
      <c r="A441" s="1" t="s">
        <v>834</v>
      </c>
      <c r="B441" t="s">
        <v>835</v>
      </c>
      <c r="C441" t="s">
        <v>836</v>
      </c>
    </row>
    <row r="442" spans="1:3" x14ac:dyDescent="0.25">
      <c r="A442" s="1" t="s">
        <v>837</v>
      </c>
      <c r="B442" t="s">
        <v>838</v>
      </c>
      <c r="C442" t="s">
        <v>839</v>
      </c>
    </row>
    <row r="443" spans="1:3" x14ac:dyDescent="0.25">
      <c r="A443" s="1" t="s">
        <v>840</v>
      </c>
      <c r="B443" t="s">
        <v>841</v>
      </c>
      <c r="C443" t="s">
        <v>842</v>
      </c>
    </row>
    <row r="444" spans="1:3" x14ac:dyDescent="0.25">
      <c r="A444" s="1" t="s">
        <v>843</v>
      </c>
      <c r="B444" t="s">
        <v>844</v>
      </c>
      <c r="C444" t="s">
        <v>845</v>
      </c>
    </row>
    <row r="445" spans="1:3" x14ac:dyDescent="0.25">
      <c r="A445" s="1" t="s">
        <v>846</v>
      </c>
      <c r="B445" t="s">
        <v>847</v>
      </c>
      <c r="C445" t="s">
        <v>848</v>
      </c>
    </row>
    <row r="446" spans="1:3" x14ac:dyDescent="0.25">
      <c r="A446" s="1" t="s">
        <v>849</v>
      </c>
      <c r="B446" t="s">
        <v>850</v>
      </c>
      <c r="C446" t="s">
        <v>851</v>
      </c>
    </row>
    <row r="447" spans="1:3" x14ac:dyDescent="0.25">
      <c r="A447" s="1" t="s">
        <v>852</v>
      </c>
      <c r="B447" t="s">
        <v>853</v>
      </c>
      <c r="C447" t="s">
        <v>854</v>
      </c>
    </row>
    <row r="448" spans="1:3" x14ac:dyDescent="0.25">
      <c r="A448" s="1" t="s">
        <v>855</v>
      </c>
      <c r="B448" t="s">
        <v>856</v>
      </c>
      <c r="C448" t="s">
        <v>857</v>
      </c>
    </row>
    <row r="449" spans="1:3" x14ac:dyDescent="0.25">
      <c r="A449" s="1" t="s">
        <v>858</v>
      </c>
      <c r="B449" t="s">
        <v>859</v>
      </c>
      <c r="C449" t="s">
        <v>860</v>
      </c>
    </row>
    <row r="450" spans="1:3" x14ac:dyDescent="0.25">
      <c r="A450" s="1" t="s">
        <v>861</v>
      </c>
      <c r="B450" t="s">
        <v>862</v>
      </c>
      <c r="C450" t="s">
        <v>863</v>
      </c>
    </row>
    <row r="451" spans="1:3" x14ac:dyDescent="0.25">
      <c r="A451" s="1" t="s">
        <v>864</v>
      </c>
      <c r="B451" t="s">
        <v>865</v>
      </c>
      <c r="C451" t="s">
        <v>866</v>
      </c>
    </row>
    <row r="452" spans="1:3" x14ac:dyDescent="0.25">
      <c r="A452" s="1" t="s">
        <v>867</v>
      </c>
      <c r="B452" t="s">
        <v>868</v>
      </c>
      <c r="C452" t="s">
        <v>869</v>
      </c>
    </row>
    <row r="453" spans="1:3" x14ac:dyDescent="0.25">
      <c r="A453" s="1" t="s">
        <v>870</v>
      </c>
      <c r="B453" t="s">
        <v>871</v>
      </c>
      <c r="C453" t="s">
        <v>872</v>
      </c>
    </row>
    <row r="454" spans="1:3" x14ac:dyDescent="0.25">
      <c r="A454" s="1" t="s">
        <v>873</v>
      </c>
      <c r="B454" t="s">
        <v>874</v>
      </c>
      <c r="C454" t="s">
        <v>875</v>
      </c>
    </row>
    <row r="455" spans="1:3" x14ac:dyDescent="0.25">
      <c r="A455" s="1" t="s">
        <v>876</v>
      </c>
      <c r="B455" t="s">
        <v>877</v>
      </c>
      <c r="C455" t="s">
        <v>878</v>
      </c>
    </row>
    <row r="456" spans="1:3" x14ac:dyDescent="0.25">
      <c r="A456" s="1" t="s">
        <v>879</v>
      </c>
      <c r="B456" t="s">
        <v>880</v>
      </c>
      <c r="C456" t="s">
        <v>881</v>
      </c>
    </row>
    <row r="457" spans="1:3" x14ac:dyDescent="0.25">
      <c r="A457" s="1" t="s">
        <v>882</v>
      </c>
      <c r="B457" t="s">
        <v>883</v>
      </c>
      <c r="C457" t="s">
        <v>884</v>
      </c>
    </row>
    <row r="458" spans="1:3" x14ac:dyDescent="0.25">
      <c r="A458" s="1" t="s">
        <v>885</v>
      </c>
      <c r="B458" t="s">
        <v>886</v>
      </c>
      <c r="C458" t="s">
        <v>887</v>
      </c>
    </row>
    <row r="459" spans="1:3" x14ac:dyDescent="0.25">
      <c r="A459" s="1" t="s">
        <v>888</v>
      </c>
      <c r="B459" t="s">
        <v>889</v>
      </c>
      <c r="C459" t="s">
        <v>890</v>
      </c>
    </row>
    <row r="460" spans="1:3" x14ac:dyDescent="0.25">
      <c r="A460" s="1" t="s">
        <v>891</v>
      </c>
      <c r="B460" t="s">
        <v>892</v>
      </c>
      <c r="C460" t="s">
        <v>893</v>
      </c>
    </row>
    <row r="461" spans="1:3" x14ac:dyDescent="0.25">
      <c r="A461" s="1" t="s">
        <v>894</v>
      </c>
      <c r="B461" t="s">
        <v>895</v>
      </c>
      <c r="C461" t="s">
        <v>896</v>
      </c>
    </row>
    <row r="462" spans="1:3" x14ac:dyDescent="0.25">
      <c r="A462" s="1" t="s">
        <v>897</v>
      </c>
      <c r="B462" t="s">
        <v>898</v>
      </c>
      <c r="C462" t="s">
        <v>899</v>
      </c>
    </row>
    <row r="463" spans="1:3" x14ac:dyDescent="0.25">
      <c r="A463" s="1" t="s">
        <v>900</v>
      </c>
      <c r="B463" t="s">
        <v>901</v>
      </c>
      <c r="C463" t="s">
        <v>902</v>
      </c>
    </row>
    <row r="464" spans="1:3" x14ac:dyDescent="0.25">
      <c r="A464" s="1" t="s">
        <v>903</v>
      </c>
      <c r="B464" t="s">
        <v>904</v>
      </c>
      <c r="C464" t="s">
        <v>905</v>
      </c>
    </row>
    <row r="465" spans="1:3" x14ac:dyDescent="0.25">
      <c r="A465" s="1" t="s">
        <v>906</v>
      </c>
      <c r="B465" t="s">
        <v>907</v>
      </c>
      <c r="C465" t="s">
        <v>908</v>
      </c>
    </row>
    <row r="466" spans="1:3" x14ac:dyDescent="0.25">
      <c r="A466" s="1" t="s">
        <v>909</v>
      </c>
      <c r="B466" t="s">
        <v>910</v>
      </c>
      <c r="C466" t="s">
        <v>911</v>
      </c>
    </row>
    <row r="467" spans="1:3" x14ac:dyDescent="0.25">
      <c r="A467" s="1" t="s">
        <v>912</v>
      </c>
      <c r="B467" t="s">
        <v>913</v>
      </c>
      <c r="C467" t="s">
        <v>914</v>
      </c>
    </row>
    <row r="468" spans="1:3" x14ac:dyDescent="0.25">
      <c r="A468" s="1" t="s">
        <v>915</v>
      </c>
      <c r="B468" t="s">
        <v>916</v>
      </c>
      <c r="C468" t="s">
        <v>917</v>
      </c>
    </row>
    <row r="469" spans="1:3" x14ac:dyDescent="0.25">
      <c r="A469" s="1" t="s">
        <v>918</v>
      </c>
      <c r="B469" t="s">
        <v>919</v>
      </c>
      <c r="C469" t="s">
        <v>920</v>
      </c>
    </row>
    <row r="470" spans="1:3" x14ac:dyDescent="0.25">
      <c r="A470" s="1" t="s">
        <v>921</v>
      </c>
      <c r="B470" t="s">
        <v>922</v>
      </c>
      <c r="C470" t="s">
        <v>923</v>
      </c>
    </row>
    <row r="471" spans="1:3" x14ac:dyDescent="0.25">
      <c r="A471" s="1" t="s">
        <v>924</v>
      </c>
      <c r="B471" t="s">
        <v>925</v>
      </c>
      <c r="C471" t="s">
        <v>926</v>
      </c>
    </row>
    <row r="472" spans="1:3" x14ac:dyDescent="0.25">
      <c r="A472" s="1" t="s">
        <v>927</v>
      </c>
      <c r="B472" t="s">
        <v>928</v>
      </c>
      <c r="C472" t="s">
        <v>929</v>
      </c>
    </row>
    <row r="473" spans="1:3" x14ac:dyDescent="0.25">
      <c r="A473" s="1" t="s">
        <v>930</v>
      </c>
      <c r="B473" t="s">
        <v>931</v>
      </c>
      <c r="C473" t="s">
        <v>932</v>
      </c>
    </row>
    <row r="474" spans="1:3" x14ac:dyDescent="0.25">
      <c r="A474" s="1" t="s">
        <v>933</v>
      </c>
      <c r="B474" t="s">
        <v>934</v>
      </c>
      <c r="C474" t="s">
        <v>935</v>
      </c>
    </row>
    <row r="475" spans="1:3" x14ac:dyDescent="0.25">
      <c r="A475" s="1" t="s">
        <v>936</v>
      </c>
      <c r="B475" t="s">
        <v>937</v>
      </c>
      <c r="C475" t="s">
        <v>938</v>
      </c>
    </row>
    <row r="476" spans="1:3" x14ac:dyDescent="0.25">
      <c r="A476" s="1" t="s">
        <v>939</v>
      </c>
      <c r="B476" t="s">
        <v>940</v>
      </c>
      <c r="C476" t="s">
        <v>941</v>
      </c>
    </row>
    <row r="477" spans="1:3" x14ac:dyDescent="0.25">
      <c r="A477" s="1" t="s">
        <v>942</v>
      </c>
      <c r="B477" t="s">
        <v>943</v>
      </c>
      <c r="C477" t="s">
        <v>944</v>
      </c>
    </row>
    <row r="478" spans="1:3" x14ac:dyDescent="0.25">
      <c r="A478" s="1" t="s">
        <v>945</v>
      </c>
      <c r="B478" t="s">
        <v>946</v>
      </c>
      <c r="C478" t="s">
        <v>947</v>
      </c>
    </row>
    <row r="479" spans="1:3" x14ac:dyDescent="0.25">
      <c r="A479" s="1" t="s">
        <v>948</v>
      </c>
      <c r="B479" t="s">
        <v>949</v>
      </c>
      <c r="C479" t="s">
        <v>950</v>
      </c>
    </row>
    <row r="480" spans="1:3" x14ac:dyDescent="0.25">
      <c r="A480" s="1" t="s">
        <v>951</v>
      </c>
      <c r="B480" t="s">
        <v>952</v>
      </c>
      <c r="C480" t="s">
        <v>953</v>
      </c>
    </row>
    <row r="481" spans="1:3" x14ac:dyDescent="0.25">
      <c r="A481" s="1" t="s">
        <v>954</v>
      </c>
      <c r="B481" t="s">
        <v>955</v>
      </c>
      <c r="C481" t="s">
        <v>956</v>
      </c>
    </row>
    <row r="482" spans="1:3" x14ac:dyDescent="0.25">
      <c r="A482" s="1" t="s">
        <v>957</v>
      </c>
      <c r="B482" t="s">
        <v>958</v>
      </c>
      <c r="C482" t="s">
        <v>959</v>
      </c>
    </row>
    <row r="483" spans="1:3" x14ac:dyDescent="0.25">
      <c r="A483" s="1" t="s">
        <v>960</v>
      </c>
      <c r="B483" t="s">
        <v>961</v>
      </c>
      <c r="C483" t="s">
        <v>962</v>
      </c>
    </row>
    <row r="484" spans="1:3" x14ac:dyDescent="0.25">
      <c r="A484" s="1" t="s">
        <v>963</v>
      </c>
      <c r="B484" t="s">
        <v>964</v>
      </c>
      <c r="C484" t="s">
        <v>965</v>
      </c>
    </row>
    <row r="485" spans="1:3" x14ac:dyDescent="0.25">
      <c r="A485" s="1" t="s">
        <v>966</v>
      </c>
      <c r="B485" t="s">
        <v>967</v>
      </c>
      <c r="C485" t="s">
        <v>968</v>
      </c>
    </row>
    <row r="486" spans="1:3" x14ac:dyDescent="0.25">
      <c r="A486" s="1" t="s">
        <v>969</v>
      </c>
      <c r="B486" t="s">
        <v>970</v>
      </c>
      <c r="C486" t="s">
        <v>971</v>
      </c>
    </row>
    <row r="487" spans="1:3" x14ac:dyDescent="0.25">
      <c r="A487" s="1" t="s">
        <v>972</v>
      </c>
      <c r="B487" t="s">
        <v>973</v>
      </c>
      <c r="C487" t="s">
        <v>974</v>
      </c>
    </row>
    <row r="488" spans="1:3" x14ac:dyDescent="0.25">
      <c r="A488" s="1" t="s">
        <v>975</v>
      </c>
      <c r="B488" t="s">
        <v>976</v>
      </c>
      <c r="C488" t="s">
        <v>977</v>
      </c>
    </row>
    <row r="489" spans="1:3" x14ac:dyDescent="0.25">
      <c r="A489" s="1" t="s">
        <v>978</v>
      </c>
      <c r="B489" t="s">
        <v>979</v>
      </c>
      <c r="C489" t="s">
        <v>980</v>
      </c>
    </row>
    <row r="490" spans="1:3" x14ac:dyDescent="0.25">
      <c r="A490" s="1" t="s">
        <v>981</v>
      </c>
      <c r="B490" t="s">
        <v>982</v>
      </c>
      <c r="C490" t="s">
        <v>983</v>
      </c>
    </row>
    <row r="491" spans="1:3" x14ac:dyDescent="0.25">
      <c r="A491" s="1" t="s">
        <v>984</v>
      </c>
      <c r="B491" t="s">
        <v>985</v>
      </c>
      <c r="C491" t="s">
        <v>986</v>
      </c>
    </row>
    <row r="492" spans="1:3" x14ac:dyDescent="0.25">
      <c r="A492" s="1" t="s">
        <v>987</v>
      </c>
      <c r="B492" t="s">
        <v>988</v>
      </c>
      <c r="C492" t="s">
        <v>989</v>
      </c>
    </row>
    <row r="493" spans="1:3" x14ac:dyDescent="0.25">
      <c r="A493" s="1" t="s">
        <v>990</v>
      </c>
      <c r="B493" t="s">
        <v>991</v>
      </c>
      <c r="C493" t="s">
        <v>992</v>
      </c>
    </row>
    <row r="494" spans="1:3" x14ac:dyDescent="0.25">
      <c r="A494" s="1" t="s">
        <v>993</v>
      </c>
      <c r="B494" t="s">
        <v>994</v>
      </c>
      <c r="C494" t="s">
        <v>995</v>
      </c>
    </row>
    <row r="495" spans="1:3" x14ac:dyDescent="0.25">
      <c r="A495" s="1" t="s">
        <v>996</v>
      </c>
      <c r="B495" t="s">
        <v>997</v>
      </c>
      <c r="C495" t="s">
        <v>998</v>
      </c>
    </row>
    <row r="496" spans="1:3" x14ac:dyDescent="0.25">
      <c r="A496" s="1" t="s">
        <v>999</v>
      </c>
      <c r="B496" t="s">
        <v>1000</v>
      </c>
      <c r="C496" t="s">
        <v>1001</v>
      </c>
    </row>
    <row r="497" spans="1:3" x14ac:dyDescent="0.25">
      <c r="A497" s="1" t="s">
        <v>1002</v>
      </c>
      <c r="B497" t="s">
        <v>1003</v>
      </c>
      <c r="C497" t="s">
        <v>1004</v>
      </c>
    </row>
    <row r="498" spans="1:3" x14ac:dyDescent="0.25">
      <c r="A498" s="1" t="s">
        <v>1005</v>
      </c>
      <c r="B498" t="s">
        <v>1006</v>
      </c>
      <c r="C498" t="s">
        <v>1007</v>
      </c>
    </row>
    <row r="499" spans="1:3" x14ac:dyDescent="0.25">
      <c r="A499" s="1" t="s">
        <v>1008</v>
      </c>
      <c r="B499" t="s">
        <v>1009</v>
      </c>
      <c r="C499" t="s">
        <v>1010</v>
      </c>
    </row>
    <row r="500" spans="1:3" x14ac:dyDescent="0.25">
      <c r="A500" s="1" t="s">
        <v>1011</v>
      </c>
      <c r="B500" t="s">
        <v>1012</v>
      </c>
      <c r="C500" t="s">
        <v>1013</v>
      </c>
    </row>
    <row r="501" spans="1:3" x14ac:dyDescent="0.25">
      <c r="A501" s="1" t="s">
        <v>1014</v>
      </c>
      <c r="B501" t="s">
        <v>1015</v>
      </c>
      <c r="C501" t="s">
        <v>1016</v>
      </c>
    </row>
    <row r="502" spans="1:3" x14ac:dyDescent="0.25">
      <c r="A502" s="1" t="s">
        <v>1017</v>
      </c>
      <c r="B502" t="s">
        <v>1018</v>
      </c>
      <c r="C502" t="s">
        <v>1019</v>
      </c>
    </row>
    <row r="503" spans="1:3" x14ac:dyDescent="0.25">
      <c r="A503" s="1" t="s">
        <v>1020</v>
      </c>
      <c r="B503" t="s">
        <v>1021</v>
      </c>
      <c r="C503" t="s">
        <v>1022</v>
      </c>
    </row>
    <row r="504" spans="1:3" x14ac:dyDescent="0.25">
      <c r="A504" s="1" t="s">
        <v>1023</v>
      </c>
      <c r="B504" t="s">
        <v>1024</v>
      </c>
      <c r="C504" t="s">
        <v>1025</v>
      </c>
    </row>
    <row r="505" spans="1:3" x14ac:dyDescent="0.25">
      <c r="A505" s="1" t="s">
        <v>1026</v>
      </c>
      <c r="B505" t="s">
        <v>1027</v>
      </c>
      <c r="C505" t="s">
        <v>1028</v>
      </c>
    </row>
    <row r="506" spans="1:3" x14ac:dyDescent="0.25">
      <c r="A506" s="1" t="s">
        <v>1029</v>
      </c>
      <c r="B506" t="s">
        <v>1030</v>
      </c>
      <c r="C506" t="s">
        <v>1031</v>
      </c>
    </row>
    <row r="507" spans="1:3" x14ac:dyDescent="0.25">
      <c r="A507" s="1" t="s">
        <v>1032</v>
      </c>
      <c r="B507" t="s">
        <v>1033</v>
      </c>
      <c r="C507" t="s">
        <v>1034</v>
      </c>
    </row>
    <row r="508" spans="1:3" x14ac:dyDescent="0.25">
      <c r="A508" s="1" t="s">
        <v>1035</v>
      </c>
      <c r="B508" t="s">
        <v>1036</v>
      </c>
      <c r="C508" t="s">
        <v>1037</v>
      </c>
    </row>
    <row r="509" spans="1:3" x14ac:dyDescent="0.25">
      <c r="A509" s="1" t="s">
        <v>1038</v>
      </c>
      <c r="B509" t="s">
        <v>1039</v>
      </c>
      <c r="C509" t="s">
        <v>1040</v>
      </c>
    </row>
    <row r="510" spans="1:3" x14ac:dyDescent="0.25">
      <c r="A510" s="1" t="s">
        <v>1041</v>
      </c>
      <c r="B510" t="s">
        <v>1042</v>
      </c>
      <c r="C510" t="s">
        <v>1043</v>
      </c>
    </row>
    <row r="511" spans="1:3" x14ac:dyDescent="0.25">
      <c r="A511" s="1" t="s">
        <v>1044</v>
      </c>
      <c r="B511" t="s">
        <v>1045</v>
      </c>
      <c r="C511" t="s">
        <v>1046</v>
      </c>
    </row>
    <row r="512" spans="1:3" x14ac:dyDescent="0.25">
      <c r="A512" s="1" t="s">
        <v>1047</v>
      </c>
      <c r="B512" t="s">
        <v>1048</v>
      </c>
      <c r="C512" t="s">
        <v>1049</v>
      </c>
    </row>
    <row r="513" spans="1:3" x14ac:dyDescent="0.25">
      <c r="A513" s="1" t="s">
        <v>1050</v>
      </c>
      <c r="B513" t="s">
        <v>1051</v>
      </c>
      <c r="C513" t="s">
        <v>1052</v>
      </c>
    </row>
    <row r="514" spans="1:3" x14ac:dyDescent="0.25">
      <c r="A514" s="1" t="s">
        <v>1053</v>
      </c>
      <c r="B514" t="s">
        <v>1054</v>
      </c>
      <c r="C514" t="s">
        <v>1055</v>
      </c>
    </row>
    <row r="515" spans="1:3" x14ac:dyDescent="0.25">
      <c r="A515" s="1" t="s">
        <v>1056</v>
      </c>
      <c r="B515" t="s">
        <v>1057</v>
      </c>
      <c r="C515" t="s">
        <v>1058</v>
      </c>
    </row>
    <row r="516" spans="1:3" x14ac:dyDescent="0.25">
      <c r="A516" s="1" t="s">
        <v>1059</v>
      </c>
      <c r="B516" t="s">
        <v>1060</v>
      </c>
      <c r="C516" t="s">
        <v>1061</v>
      </c>
    </row>
    <row r="517" spans="1:3" x14ac:dyDescent="0.25">
      <c r="A517" s="1" t="s">
        <v>1062</v>
      </c>
      <c r="B517" t="s">
        <v>1063</v>
      </c>
      <c r="C517" t="s">
        <v>1064</v>
      </c>
    </row>
    <row r="518" spans="1:3" x14ac:dyDescent="0.25">
      <c r="A518" s="1" t="s">
        <v>1065</v>
      </c>
      <c r="B518" t="s">
        <v>1066</v>
      </c>
      <c r="C518" t="s">
        <v>1067</v>
      </c>
    </row>
    <row r="521" spans="1:3" x14ac:dyDescent="0.25">
      <c r="A521" s="29" t="s">
        <v>1068</v>
      </c>
      <c r="B521" s="30"/>
      <c r="C521" s="30" t="s">
        <v>1</v>
      </c>
    </row>
    <row r="522" spans="1:3" x14ac:dyDescent="0.25">
      <c r="A522" s="1">
        <v>1</v>
      </c>
      <c r="B522" t="s">
        <v>886</v>
      </c>
      <c r="C522" t="s">
        <v>1069</v>
      </c>
    </row>
    <row r="523" spans="1:3" x14ac:dyDescent="0.25">
      <c r="A523" s="1">
        <v>2</v>
      </c>
      <c r="B523" t="s">
        <v>1070</v>
      </c>
      <c r="C523" t="s">
        <v>1071</v>
      </c>
    </row>
    <row r="524" spans="1:3" x14ac:dyDescent="0.25">
      <c r="A524" s="1">
        <v>3</v>
      </c>
      <c r="B524" t="s">
        <v>871</v>
      </c>
      <c r="C524" t="s">
        <v>1072</v>
      </c>
    </row>
    <row r="525" spans="1:3" x14ac:dyDescent="0.25">
      <c r="A525" s="1">
        <v>4</v>
      </c>
      <c r="B525" t="s">
        <v>874</v>
      </c>
      <c r="C525" t="s">
        <v>1073</v>
      </c>
    </row>
    <row r="526" spans="1:3" x14ac:dyDescent="0.25">
      <c r="A526" s="1">
        <v>5</v>
      </c>
      <c r="B526" t="s">
        <v>1074</v>
      </c>
      <c r="C526" t="s">
        <v>1075</v>
      </c>
    </row>
    <row r="527" spans="1:3" x14ac:dyDescent="0.25">
      <c r="A527" s="1">
        <v>6</v>
      </c>
      <c r="B527" t="s">
        <v>1076</v>
      </c>
      <c r="C527" t="s">
        <v>1077</v>
      </c>
    </row>
    <row r="528" spans="1:3" x14ac:dyDescent="0.25">
      <c r="A528" s="1">
        <v>7</v>
      </c>
      <c r="B528" t="s">
        <v>1078</v>
      </c>
      <c r="C528" t="s">
        <v>1079</v>
      </c>
    </row>
    <row r="529" spans="1:3" x14ac:dyDescent="0.25">
      <c r="A529" s="1">
        <v>8</v>
      </c>
      <c r="B529" t="s">
        <v>1080</v>
      </c>
      <c r="C529" t="s">
        <v>1081</v>
      </c>
    </row>
    <row r="530" spans="1:3" x14ac:dyDescent="0.25">
      <c r="A530" s="1">
        <v>9</v>
      </c>
      <c r="B530" t="s">
        <v>1082</v>
      </c>
      <c r="C530" t="s">
        <v>1083</v>
      </c>
    </row>
    <row r="531" spans="1:3" x14ac:dyDescent="0.25">
      <c r="A531" s="1">
        <v>10</v>
      </c>
      <c r="B531" t="s">
        <v>1084</v>
      </c>
      <c r="C531" t="s">
        <v>1085</v>
      </c>
    </row>
    <row r="532" spans="1:3" x14ac:dyDescent="0.25">
      <c r="A532" s="1">
        <v>11</v>
      </c>
      <c r="B532" t="s">
        <v>1086</v>
      </c>
      <c r="C532" t="s">
        <v>1087</v>
      </c>
    </row>
    <row r="533" spans="1:3" x14ac:dyDescent="0.25">
      <c r="A533" s="1">
        <v>12</v>
      </c>
      <c r="B533" t="s">
        <v>1088</v>
      </c>
      <c r="C533" t="s">
        <v>1089</v>
      </c>
    </row>
    <row r="534" spans="1:3" x14ac:dyDescent="0.25">
      <c r="A534" s="1">
        <v>13</v>
      </c>
      <c r="B534" t="s">
        <v>1090</v>
      </c>
      <c r="C534" t="s">
        <v>1091</v>
      </c>
    </row>
    <row r="535" spans="1:3" x14ac:dyDescent="0.25">
      <c r="A535" s="1">
        <v>14</v>
      </c>
      <c r="B535" t="s">
        <v>1092</v>
      </c>
      <c r="C535" t="s">
        <v>1093</v>
      </c>
    </row>
    <row r="536" spans="1:3" x14ac:dyDescent="0.25">
      <c r="A536" s="1">
        <v>15</v>
      </c>
      <c r="B536" t="s">
        <v>1094</v>
      </c>
      <c r="C536" t="s">
        <v>1095</v>
      </c>
    </row>
    <row r="537" spans="1:3" x14ac:dyDescent="0.25">
      <c r="A537" s="1">
        <v>16</v>
      </c>
      <c r="B537" t="s">
        <v>1096</v>
      </c>
      <c r="C537" t="s">
        <v>1097</v>
      </c>
    </row>
    <row r="538" spans="1:3" x14ac:dyDescent="0.25">
      <c r="A538" s="1">
        <v>17</v>
      </c>
      <c r="B538" t="s">
        <v>1098</v>
      </c>
      <c r="C538" t="s">
        <v>1099</v>
      </c>
    </row>
    <row r="539" spans="1:3" x14ac:dyDescent="0.25">
      <c r="A539" s="1">
        <v>18</v>
      </c>
      <c r="B539" t="s">
        <v>1100</v>
      </c>
      <c r="C539" t="s">
        <v>1101</v>
      </c>
    </row>
    <row r="540" spans="1:3" x14ac:dyDescent="0.25">
      <c r="A540" s="1">
        <v>19</v>
      </c>
      <c r="B540" t="s">
        <v>1102</v>
      </c>
      <c r="C540" t="s">
        <v>1103</v>
      </c>
    </row>
    <row r="541" spans="1:3" x14ac:dyDescent="0.25">
      <c r="A541" s="1">
        <v>20</v>
      </c>
      <c r="B541" t="s">
        <v>1104</v>
      </c>
      <c r="C541" t="s">
        <v>1105</v>
      </c>
    </row>
    <row r="542" spans="1:3" x14ac:dyDescent="0.25">
      <c r="A542" s="1">
        <v>21</v>
      </c>
      <c r="B542" t="s">
        <v>1106</v>
      </c>
      <c r="C542" t="s">
        <v>1107</v>
      </c>
    </row>
    <row r="543" spans="1:3" x14ac:dyDescent="0.25">
      <c r="A543" s="1">
        <v>22</v>
      </c>
      <c r="B543" t="s">
        <v>1108</v>
      </c>
      <c r="C543" t="s">
        <v>1109</v>
      </c>
    </row>
    <row r="544" spans="1:3" x14ac:dyDescent="0.25">
      <c r="A544" s="1">
        <v>23</v>
      </c>
      <c r="B544" t="s">
        <v>1110</v>
      </c>
      <c r="C544" t="s">
        <v>1111</v>
      </c>
    </row>
    <row r="545" spans="1:3" x14ac:dyDescent="0.25">
      <c r="A545" s="1">
        <v>24</v>
      </c>
      <c r="B545" t="s">
        <v>1112</v>
      </c>
      <c r="C545" t="s">
        <v>1113</v>
      </c>
    </row>
    <row r="546" spans="1:3" x14ac:dyDescent="0.25">
      <c r="A546" s="1">
        <v>25</v>
      </c>
      <c r="B546" t="s">
        <v>1114</v>
      </c>
      <c r="C546" t="s">
        <v>1115</v>
      </c>
    </row>
    <row r="547" spans="1:3" x14ac:dyDescent="0.25">
      <c r="A547" s="1">
        <v>26</v>
      </c>
      <c r="B547" t="s">
        <v>1116</v>
      </c>
      <c r="C547" t="s">
        <v>1117</v>
      </c>
    </row>
    <row r="548" spans="1:3" x14ac:dyDescent="0.25">
      <c r="A548" s="1">
        <v>27</v>
      </c>
      <c r="B548" t="s">
        <v>1118</v>
      </c>
      <c r="C548" t="s">
        <v>1119</v>
      </c>
    </row>
    <row r="549" spans="1:3" x14ac:dyDescent="0.25">
      <c r="A549" s="1">
        <v>28</v>
      </c>
      <c r="B549" t="s">
        <v>1120</v>
      </c>
      <c r="C549" t="s">
        <v>1121</v>
      </c>
    </row>
    <row r="550" spans="1:3" x14ac:dyDescent="0.25">
      <c r="A550" s="1">
        <v>29</v>
      </c>
      <c r="B550" t="s">
        <v>799</v>
      </c>
      <c r="C550" t="s">
        <v>1122</v>
      </c>
    </row>
    <row r="551" spans="1:3" x14ac:dyDescent="0.25">
      <c r="A551" s="1">
        <v>30</v>
      </c>
      <c r="B551" t="s">
        <v>1123</v>
      </c>
      <c r="C551" t="s">
        <v>1124</v>
      </c>
    </row>
    <row r="552" spans="1:3" x14ac:dyDescent="0.25">
      <c r="A552" s="1">
        <v>31</v>
      </c>
      <c r="B552" t="s">
        <v>736</v>
      </c>
      <c r="C552" t="s">
        <v>1125</v>
      </c>
    </row>
    <row r="553" spans="1:3" x14ac:dyDescent="0.25">
      <c r="A553" s="1">
        <v>32</v>
      </c>
      <c r="B553" t="s">
        <v>1126</v>
      </c>
      <c r="C553" t="s">
        <v>1127</v>
      </c>
    </row>
    <row r="554" spans="1:3" x14ac:dyDescent="0.25">
      <c r="A554" s="1">
        <v>33</v>
      </c>
      <c r="B554" t="s">
        <v>853</v>
      </c>
      <c r="C554" t="s">
        <v>1128</v>
      </c>
    </row>
    <row r="555" spans="1:3" x14ac:dyDescent="0.25">
      <c r="A555" s="1">
        <v>34</v>
      </c>
      <c r="B555" t="s">
        <v>1129</v>
      </c>
      <c r="C555" t="s">
        <v>1130</v>
      </c>
    </row>
    <row r="556" spans="1:3" x14ac:dyDescent="0.25">
      <c r="A556" s="1">
        <v>35</v>
      </c>
      <c r="B556" t="s">
        <v>1131</v>
      </c>
      <c r="C556" t="s">
        <v>1132</v>
      </c>
    </row>
    <row r="557" spans="1:3" x14ac:dyDescent="0.25">
      <c r="A557" s="1">
        <v>36</v>
      </c>
      <c r="B557" t="s">
        <v>1133</v>
      </c>
      <c r="C557" t="s">
        <v>1134</v>
      </c>
    </row>
    <row r="558" spans="1:3" x14ac:dyDescent="0.25">
      <c r="A558" s="1">
        <v>37</v>
      </c>
      <c r="B558" t="s">
        <v>1135</v>
      </c>
      <c r="C558" t="s">
        <v>1136</v>
      </c>
    </row>
    <row r="559" spans="1:3" x14ac:dyDescent="0.25">
      <c r="A559" s="1">
        <v>38</v>
      </c>
      <c r="B559" t="s">
        <v>1137</v>
      </c>
      <c r="C559" t="s">
        <v>1138</v>
      </c>
    </row>
    <row r="560" spans="1:3" x14ac:dyDescent="0.25">
      <c r="A560" s="1">
        <v>39</v>
      </c>
      <c r="B560" t="s">
        <v>1139</v>
      </c>
      <c r="C560" t="s">
        <v>1140</v>
      </c>
    </row>
    <row r="561" spans="1:3" x14ac:dyDescent="0.25">
      <c r="A561" s="1">
        <v>40</v>
      </c>
      <c r="B561" t="s">
        <v>1141</v>
      </c>
      <c r="C561" t="s">
        <v>1142</v>
      </c>
    </row>
    <row r="562" spans="1:3" x14ac:dyDescent="0.25">
      <c r="A562" s="1">
        <v>41</v>
      </c>
      <c r="B562" t="s">
        <v>1143</v>
      </c>
      <c r="C562" t="s">
        <v>1144</v>
      </c>
    </row>
    <row r="563" spans="1:3" x14ac:dyDescent="0.25">
      <c r="A563" s="1">
        <v>42</v>
      </c>
      <c r="B563" t="s">
        <v>1145</v>
      </c>
      <c r="C563" t="s">
        <v>1146</v>
      </c>
    </row>
    <row r="566" spans="1:3" x14ac:dyDescent="0.25">
      <c r="A566" s="29" t="s">
        <v>1147</v>
      </c>
      <c r="B566" s="30"/>
      <c r="C566" s="30" t="s">
        <v>1</v>
      </c>
    </row>
    <row r="567" spans="1:3" x14ac:dyDescent="0.25">
      <c r="A567" s="1">
        <v>1</v>
      </c>
      <c r="B567" t="s">
        <v>1148</v>
      </c>
      <c r="C567" t="s">
        <v>1149</v>
      </c>
    </row>
    <row r="568" spans="1:3" x14ac:dyDescent="0.25">
      <c r="A568" s="1">
        <v>2</v>
      </c>
      <c r="B568" t="s">
        <v>1150</v>
      </c>
      <c r="C568" t="s">
        <v>1151</v>
      </c>
    </row>
    <row r="569" spans="1:3" x14ac:dyDescent="0.25">
      <c r="A569" s="1">
        <v>3</v>
      </c>
      <c r="B569" t="s">
        <v>1152</v>
      </c>
      <c r="C569" t="s">
        <v>1153</v>
      </c>
    </row>
    <row r="570" spans="1:3" x14ac:dyDescent="0.25">
      <c r="A570" s="1">
        <v>4</v>
      </c>
      <c r="B570" t="s">
        <v>1154</v>
      </c>
      <c r="C570" t="s">
        <v>1155</v>
      </c>
    </row>
    <row r="571" spans="1:3" x14ac:dyDescent="0.25">
      <c r="A571" s="1">
        <v>5</v>
      </c>
      <c r="B571" t="s">
        <v>1156</v>
      </c>
      <c r="C571" t="s">
        <v>1157</v>
      </c>
    </row>
    <row r="572" spans="1:3" x14ac:dyDescent="0.25">
      <c r="A572" s="1">
        <v>6</v>
      </c>
      <c r="B572" t="s">
        <v>1158</v>
      </c>
      <c r="C572" t="s">
        <v>1159</v>
      </c>
    </row>
    <row r="573" spans="1:3" x14ac:dyDescent="0.25">
      <c r="A573" s="1">
        <v>7</v>
      </c>
      <c r="B573" t="s">
        <v>1160</v>
      </c>
      <c r="C573" t="s">
        <v>1161</v>
      </c>
    </row>
    <row r="574" spans="1:3" x14ac:dyDescent="0.25">
      <c r="A574" s="1">
        <v>8</v>
      </c>
      <c r="B574" t="s">
        <v>1162</v>
      </c>
      <c r="C574" t="s">
        <v>1163</v>
      </c>
    </row>
    <row r="575" spans="1:3" x14ac:dyDescent="0.25">
      <c r="A575" s="1">
        <v>9</v>
      </c>
      <c r="B575" t="s">
        <v>1164</v>
      </c>
      <c r="C575" t="s">
        <v>1165</v>
      </c>
    </row>
    <row r="576" spans="1:3" x14ac:dyDescent="0.25">
      <c r="A576" s="1">
        <v>10</v>
      </c>
      <c r="B576" t="s">
        <v>1166</v>
      </c>
      <c r="C576" t="s">
        <v>1167</v>
      </c>
    </row>
    <row r="577" spans="1:3" x14ac:dyDescent="0.25">
      <c r="A577" s="1">
        <v>11</v>
      </c>
      <c r="B577" t="s">
        <v>1168</v>
      </c>
      <c r="C577" t="s">
        <v>1169</v>
      </c>
    </row>
    <row r="578" spans="1:3" x14ac:dyDescent="0.25">
      <c r="A578" s="1">
        <v>12</v>
      </c>
      <c r="B578" t="s">
        <v>1170</v>
      </c>
      <c r="C578" t="s">
        <v>1171</v>
      </c>
    </row>
    <row r="579" spans="1:3" x14ac:dyDescent="0.25">
      <c r="A579" s="1">
        <v>13</v>
      </c>
      <c r="B579" t="s">
        <v>254</v>
      </c>
      <c r="C579" t="s">
        <v>255</v>
      </c>
    </row>
    <row r="580" spans="1:3" x14ac:dyDescent="0.25">
      <c r="A580" s="1">
        <v>14</v>
      </c>
      <c r="B580" t="s">
        <v>1172</v>
      </c>
      <c r="C580" t="s">
        <v>1173</v>
      </c>
    </row>
    <row r="581" spans="1:3" x14ac:dyDescent="0.25">
      <c r="A581" s="1">
        <v>15</v>
      </c>
      <c r="B581" t="s">
        <v>1174</v>
      </c>
      <c r="C581" t="s">
        <v>1175</v>
      </c>
    </row>
    <row r="582" spans="1:3" x14ac:dyDescent="0.25">
      <c r="A582" s="1">
        <v>16</v>
      </c>
      <c r="B582" t="s">
        <v>1176</v>
      </c>
      <c r="C582" t="s">
        <v>1177</v>
      </c>
    </row>
    <row r="583" spans="1:3" x14ac:dyDescent="0.25">
      <c r="A583" s="1">
        <v>17</v>
      </c>
      <c r="B583" t="s">
        <v>1178</v>
      </c>
      <c r="C583" t="s">
        <v>1179</v>
      </c>
    </row>
    <row r="584" spans="1:3" x14ac:dyDescent="0.25">
      <c r="A584" s="1">
        <v>18</v>
      </c>
      <c r="B584" t="s">
        <v>1180</v>
      </c>
      <c r="C584" t="s">
        <v>1181</v>
      </c>
    </row>
    <row r="585" spans="1:3" x14ac:dyDescent="0.25">
      <c r="A585" s="1">
        <v>19</v>
      </c>
      <c r="B585" t="s">
        <v>1182</v>
      </c>
      <c r="C585" t="s">
        <v>1183</v>
      </c>
    </row>
    <row r="586" spans="1:3" x14ac:dyDescent="0.25">
      <c r="A586" s="1">
        <v>20</v>
      </c>
      <c r="B586" t="s">
        <v>1184</v>
      </c>
      <c r="C586" t="s">
        <v>1185</v>
      </c>
    </row>
    <row r="587" spans="1:3" x14ac:dyDescent="0.25">
      <c r="A587" s="1">
        <v>21</v>
      </c>
      <c r="B587" t="s">
        <v>1186</v>
      </c>
      <c r="C587" t="s">
        <v>1187</v>
      </c>
    </row>
    <row r="588" spans="1:3" x14ac:dyDescent="0.25">
      <c r="A588" s="1">
        <v>22</v>
      </c>
      <c r="B588" t="s">
        <v>1188</v>
      </c>
      <c r="C588" t="s">
        <v>1189</v>
      </c>
    </row>
    <row r="589" spans="1:3" x14ac:dyDescent="0.25">
      <c r="A589" s="1">
        <v>23</v>
      </c>
      <c r="B589" t="s">
        <v>1190</v>
      </c>
      <c r="C589" t="s">
        <v>1191</v>
      </c>
    </row>
    <row r="590" spans="1:3" x14ac:dyDescent="0.25">
      <c r="A590" s="1">
        <v>24</v>
      </c>
      <c r="B590" t="s">
        <v>1192</v>
      </c>
      <c r="C590" t="s">
        <v>1193</v>
      </c>
    </row>
    <row r="591" spans="1:3" x14ac:dyDescent="0.25">
      <c r="A591" s="1">
        <v>25</v>
      </c>
      <c r="B591" t="s">
        <v>1194</v>
      </c>
      <c r="C591" t="s">
        <v>1195</v>
      </c>
    </row>
    <row r="592" spans="1:3" x14ac:dyDescent="0.25">
      <c r="A592" s="1">
        <v>26</v>
      </c>
      <c r="B592" t="s">
        <v>1196</v>
      </c>
      <c r="C592" t="s">
        <v>1197</v>
      </c>
    </row>
    <row r="593" spans="1:3" x14ac:dyDescent="0.25">
      <c r="A593" s="1">
        <v>27</v>
      </c>
      <c r="B593" t="s">
        <v>1198</v>
      </c>
      <c r="C593" t="s">
        <v>1199</v>
      </c>
    </row>
    <row r="594" spans="1:3" x14ac:dyDescent="0.25">
      <c r="A594" s="1">
        <v>28</v>
      </c>
      <c r="B594" t="s">
        <v>1200</v>
      </c>
      <c r="C594" t="s">
        <v>1201</v>
      </c>
    </row>
    <row r="595" spans="1:3" x14ac:dyDescent="0.25">
      <c r="A595" s="1">
        <v>29</v>
      </c>
      <c r="B595" t="s">
        <v>1202</v>
      </c>
      <c r="C595" t="s">
        <v>1203</v>
      </c>
    </row>
    <row r="596" spans="1:3" x14ac:dyDescent="0.25">
      <c r="A596" s="1">
        <v>30</v>
      </c>
      <c r="B596" t="s">
        <v>1204</v>
      </c>
      <c r="C596" t="s">
        <v>1205</v>
      </c>
    </row>
    <row r="597" spans="1:3" x14ac:dyDescent="0.25">
      <c r="A597" s="1">
        <v>31</v>
      </c>
      <c r="B597" t="s">
        <v>1206</v>
      </c>
      <c r="C597" t="s">
        <v>1207</v>
      </c>
    </row>
    <row r="598" spans="1:3" x14ac:dyDescent="0.25">
      <c r="A598" s="1">
        <v>32</v>
      </c>
      <c r="B598" t="s">
        <v>1208</v>
      </c>
      <c r="C598" t="s">
        <v>1209</v>
      </c>
    </row>
    <row r="599" spans="1:3" x14ac:dyDescent="0.25">
      <c r="A599" s="1">
        <v>33</v>
      </c>
      <c r="B599" t="s">
        <v>1210</v>
      </c>
      <c r="C599" t="s">
        <v>1211</v>
      </c>
    </row>
    <row r="600" spans="1:3" x14ac:dyDescent="0.25">
      <c r="A600" s="1">
        <v>34</v>
      </c>
      <c r="B600" t="s">
        <v>1212</v>
      </c>
      <c r="C600" t="s">
        <v>1213</v>
      </c>
    </row>
    <row r="601" spans="1:3" x14ac:dyDescent="0.25">
      <c r="A601" s="1">
        <v>35</v>
      </c>
      <c r="B601" t="s">
        <v>1214</v>
      </c>
      <c r="C601" t="s">
        <v>1215</v>
      </c>
    </row>
    <row r="602" spans="1:3" x14ac:dyDescent="0.25">
      <c r="A602" s="1">
        <v>36</v>
      </c>
      <c r="B602" t="s">
        <v>1216</v>
      </c>
      <c r="C602" t="s">
        <v>1217</v>
      </c>
    </row>
    <row r="603" spans="1:3" x14ac:dyDescent="0.25">
      <c r="A603" s="1">
        <v>37</v>
      </c>
      <c r="B603" t="s">
        <v>1218</v>
      </c>
      <c r="C603" t="s">
        <v>1219</v>
      </c>
    </row>
    <row r="604" spans="1:3" x14ac:dyDescent="0.25">
      <c r="A604" s="1">
        <v>38</v>
      </c>
      <c r="B604" t="s">
        <v>1220</v>
      </c>
      <c r="C604" t="s">
        <v>1221</v>
      </c>
    </row>
    <row r="605" spans="1:3" x14ac:dyDescent="0.25">
      <c r="A605" s="1">
        <v>39</v>
      </c>
      <c r="B605" t="s">
        <v>1222</v>
      </c>
      <c r="C605" t="s">
        <v>1223</v>
      </c>
    </row>
    <row r="606" spans="1:3" x14ac:dyDescent="0.25">
      <c r="A606" s="1">
        <v>40</v>
      </c>
      <c r="B606" t="s">
        <v>1224</v>
      </c>
      <c r="C606" t="s">
        <v>1225</v>
      </c>
    </row>
    <row r="607" spans="1:3" x14ac:dyDescent="0.25">
      <c r="A607" s="1">
        <v>41</v>
      </c>
      <c r="B607" t="s">
        <v>1226</v>
      </c>
      <c r="C607" t="s">
        <v>1227</v>
      </c>
    </row>
    <row r="608" spans="1:3" x14ac:dyDescent="0.25">
      <c r="A608" s="1">
        <v>42</v>
      </c>
      <c r="B608" t="s">
        <v>1228</v>
      </c>
      <c r="C608" t="s">
        <v>1229</v>
      </c>
    </row>
    <row r="609" spans="1:3" x14ac:dyDescent="0.25">
      <c r="A609" s="1">
        <v>43</v>
      </c>
      <c r="B609" t="s">
        <v>1230</v>
      </c>
      <c r="C609" t="s">
        <v>1231</v>
      </c>
    </row>
    <row r="610" spans="1:3" x14ac:dyDescent="0.25">
      <c r="A610" s="1">
        <v>44</v>
      </c>
      <c r="B610" t="s">
        <v>1232</v>
      </c>
      <c r="C610" t="s">
        <v>1233</v>
      </c>
    </row>
    <row r="611" spans="1:3" x14ac:dyDescent="0.25">
      <c r="A611" s="1">
        <v>45</v>
      </c>
      <c r="B611" t="s">
        <v>1234</v>
      </c>
      <c r="C611" t="s">
        <v>1235</v>
      </c>
    </row>
    <row r="612" spans="1:3" x14ac:dyDescent="0.25">
      <c r="A612" s="1">
        <v>46</v>
      </c>
      <c r="B612" t="s">
        <v>1236</v>
      </c>
      <c r="C612" t="s">
        <v>1237</v>
      </c>
    </row>
    <row r="613" spans="1:3" x14ac:dyDescent="0.25">
      <c r="A613" s="1">
        <v>47</v>
      </c>
      <c r="B613" t="s">
        <v>1238</v>
      </c>
      <c r="C613" t="s">
        <v>1239</v>
      </c>
    </row>
    <row r="614" spans="1:3" x14ac:dyDescent="0.25">
      <c r="A614" s="1">
        <v>48</v>
      </c>
      <c r="B614" t="s">
        <v>1240</v>
      </c>
      <c r="C614" t="s">
        <v>1241</v>
      </c>
    </row>
    <row r="615" spans="1:3" x14ac:dyDescent="0.25">
      <c r="A615" s="1">
        <v>49</v>
      </c>
      <c r="B615" t="s">
        <v>1242</v>
      </c>
      <c r="C615" t="s">
        <v>1243</v>
      </c>
    </row>
    <row r="616" spans="1:3" x14ac:dyDescent="0.25">
      <c r="A616" s="1">
        <v>50</v>
      </c>
      <c r="B616" t="s">
        <v>1244</v>
      </c>
      <c r="C616" t="s">
        <v>1245</v>
      </c>
    </row>
    <row r="617" spans="1:3" x14ac:dyDescent="0.25">
      <c r="A617" s="1">
        <v>51</v>
      </c>
      <c r="B617" t="s">
        <v>1246</v>
      </c>
      <c r="C617" t="s">
        <v>1247</v>
      </c>
    </row>
    <row r="618" spans="1:3" x14ac:dyDescent="0.25">
      <c r="A618" s="1">
        <v>52</v>
      </c>
      <c r="B618" t="s">
        <v>1248</v>
      </c>
      <c r="C618" t="s">
        <v>1249</v>
      </c>
    </row>
    <row r="619" spans="1:3" x14ac:dyDescent="0.25">
      <c r="A619" s="1">
        <v>53</v>
      </c>
      <c r="B619" t="s">
        <v>1250</v>
      </c>
      <c r="C619" t="s">
        <v>1251</v>
      </c>
    </row>
    <row r="620" spans="1:3" x14ac:dyDescent="0.25">
      <c r="A620" s="1">
        <v>54</v>
      </c>
      <c r="B620" t="s">
        <v>1252</v>
      </c>
      <c r="C620" t="s">
        <v>1253</v>
      </c>
    </row>
    <row r="621" spans="1:3" x14ac:dyDescent="0.25">
      <c r="A621" s="1">
        <v>55</v>
      </c>
      <c r="B621" t="s">
        <v>1254</v>
      </c>
      <c r="C621" t="s">
        <v>1255</v>
      </c>
    </row>
    <row r="622" spans="1:3" x14ac:dyDescent="0.25">
      <c r="A622" s="1">
        <v>56</v>
      </c>
      <c r="B622" t="s">
        <v>1256</v>
      </c>
      <c r="C622" t="s">
        <v>1257</v>
      </c>
    </row>
    <row r="623" spans="1:3" x14ac:dyDescent="0.25">
      <c r="A623" s="1">
        <v>57</v>
      </c>
      <c r="B623" t="s">
        <v>1258</v>
      </c>
      <c r="C623" t="s">
        <v>1259</v>
      </c>
    </row>
    <row r="624" spans="1:3" x14ac:dyDescent="0.25">
      <c r="A624" s="1">
        <v>58</v>
      </c>
      <c r="B624" t="s">
        <v>1260</v>
      </c>
      <c r="C624" t="s">
        <v>1261</v>
      </c>
    </row>
    <row r="625" spans="1:3" x14ac:dyDescent="0.25">
      <c r="A625" s="1">
        <v>59</v>
      </c>
      <c r="B625" t="s">
        <v>1262</v>
      </c>
      <c r="C625" t="s">
        <v>1263</v>
      </c>
    </row>
    <row r="626" spans="1:3" x14ac:dyDescent="0.25">
      <c r="A626" s="1">
        <v>60</v>
      </c>
      <c r="B626" t="s">
        <v>1264</v>
      </c>
      <c r="C626" t="s">
        <v>1265</v>
      </c>
    </row>
    <row r="627" spans="1:3" x14ac:dyDescent="0.25">
      <c r="A627" s="1">
        <v>61</v>
      </c>
      <c r="B627" t="s">
        <v>1266</v>
      </c>
      <c r="C627" t="s">
        <v>1267</v>
      </c>
    </row>
    <row r="628" spans="1:3" x14ac:dyDescent="0.25">
      <c r="A628" s="1">
        <v>62</v>
      </c>
      <c r="B628" t="s">
        <v>1268</v>
      </c>
      <c r="C628" t="s">
        <v>1269</v>
      </c>
    </row>
    <row r="629" spans="1:3" x14ac:dyDescent="0.25">
      <c r="A629" s="1">
        <v>63</v>
      </c>
      <c r="B629" t="s">
        <v>1270</v>
      </c>
      <c r="C629" t="s">
        <v>1271</v>
      </c>
    </row>
    <row r="630" spans="1:3" x14ac:dyDescent="0.25">
      <c r="A630" s="1">
        <v>64</v>
      </c>
      <c r="B630" t="s">
        <v>1272</v>
      </c>
      <c r="C630" t="s">
        <v>1273</v>
      </c>
    </row>
    <row r="631" spans="1:3" x14ac:dyDescent="0.25">
      <c r="A631" s="1">
        <v>65</v>
      </c>
      <c r="B631" t="s">
        <v>1274</v>
      </c>
      <c r="C631" t="s">
        <v>1275</v>
      </c>
    </row>
    <row r="632" spans="1:3" x14ac:dyDescent="0.25">
      <c r="A632" s="1">
        <v>66</v>
      </c>
      <c r="B632" t="s">
        <v>1276</v>
      </c>
      <c r="C632" t="s">
        <v>1277</v>
      </c>
    </row>
    <row r="633" spans="1:3" x14ac:dyDescent="0.25">
      <c r="A633" s="1">
        <v>67</v>
      </c>
      <c r="B633" t="s">
        <v>1278</v>
      </c>
      <c r="C633" t="s">
        <v>1279</v>
      </c>
    </row>
    <row r="634" spans="1:3" x14ac:dyDescent="0.25">
      <c r="A634" s="1">
        <v>68</v>
      </c>
      <c r="B634" t="s">
        <v>1280</v>
      </c>
      <c r="C634" t="s">
        <v>1281</v>
      </c>
    </row>
    <row r="635" spans="1:3" x14ac:dyDescent="0.25">
      <c r="A635" s="1">
        <v>69</v>
      </c>
      <c r="B635" t="s">
        <v>1282</v>
      </c>
      <c r="C635" t="s">
        <v>1283</v>
      </c>
    </row>
    <row r="636" spans="1:3" x14ac:dyDescent="0.25">
      <c r="A636" s="1">
        <v>70</v>
      </c>
      <c r="B636" t="s">
        <v>1284</v>
      </c>
      <c r="C636" t="s">
        <v>1285</v>
      </c>
    </row>
    <row r="637" spans="1:3" x14ac:dyDescent="0.25">
      <c r="A637" s="1">
        <v>71</v>
      </c>
      <c r="B637" t="s">
        <v>1286</v>
      </c>
      <c r="C637" t="s">
        <v>1287</v>
      </c>
    </row>
    <row r="638" spans="1:3" x14ac:dyDescent="0.25">
      <c r="A638" s="1">
        <v>72</v>
      </c>
      <c r="B638" t="s">
        <v>1288</v>
      </c>
      <c r="C638" t="s">
        <v>1289</v>
      </c>
    </row>
    <row r="639" spans="1:3" x14ac:dyDescent="0.25">
      <c r="A639" s="1">
        <v>73</v>
      </c>
      <c r="B639" t="s">
        <v>1290</v>
      </c>
      <c r="C639" t="s">
        <v>1291</v>
      </c>
    </row>
    <row r="640" spans="1:3" x14ac:dyDescent="0.25">
      <c r="A640" s="1">
        <v>74</v>
      </c>
      <c r="B640" t="s">
        <v>1292</v>
      </c>
      <c r="C640" t="s">
        <v>1293</v>
      </c>
    </row>
    <row r="641" spans="1:3" x14ac:dyDescent="0.25">
      <c r="A641" s="1">
        <v>75</v>
      </c>
      <c r="B641" t="s">
        <v>1294</v>
      </c>
      <c r="C641" t="s">
        <v>1295</v>
      </c>
    </row>
    <row r="642" spans="1:3" x14ac:dyDescent="0.25">
      <c r="A642" s="1">
        <v>76</v>
      </c>
      <c r="B642" t="s">
        <v>1296</v>
      </c>
      <c r="C642" t="s">
        <v>1297</v>
      </c>
    </row>
    <row r="643" spans="1:3" x14ac:dyDescent="0.25">
      <c r="A643" s="1">
        <v>77</v>
      </c>
      <c r="B643" t="s">
        <v>1298</v>
      </c>
      <c r="C643" t="s">
        <v>1299</v>
      </c>
    </row>
    <row r="644" spans="1:3" x14ac:dyDescent="0.25">
      <c r="A644" s="1">
        <v>78</v>
      </c>
      <c r="B644" t="s">
        <v>1300</v>
      </c>
      <c r="C644" t="s">
        <v>1301</v>
      </c>
    </row>
    <row r="645" spans="1:3" x14ac:dyDescent="0.25">
      <c r="A645" s="1">
        <v>79</v>
      </c>
      <c r="B645" t="s">
        <v>1302</v>
      </c>
      <c r="C645" t="s">
        <v>1303</v>
      </c>
    </row>
    <row r="646" spans="1:3" x14ac:dyDescent="0.25">
      <c r="A646" s="1">
        <v>80</v>
      </c>
      <c r="B646" t="s">
        <v>1304</v>
      </c>
      <c r="C646" t="s">
        <v>1305</v>
      </c>
    </row>
    <row r="647" spans="1:3" x14ac:dyDescent="0.25">
      <c r="A647" s="1">
        <v>81</v>
      </c>
      <c r="B647" t="s">
        <v>1306</v>
      </c>
      <c r="C647" t="s">
        <v>1307</v>
      </c>
    </row>
    <row r="648" spans="1:3" x14ac:dyDescent="0.25">
      <c r="A648" s="1">
        <v>82</v>
      </c>
      <c r="B648" t="s">
        <v>1308</v>
      </c>
      <c r="C648" t="s">
        <v>1309</v>
      </c>
    </row>
    <row r="649" spans="1:3" x14ac:dyDescent="0.25">
      <c r="A649" s="1">
        <v>83</v>
      </c>
      <c r="B649" t="s">
        <v>1310</v>
      </c>
      <c r="C649" t="s">
        <v>1311</v>
      </c>
    </row>
    <row r="650" spans="1:3" x14ac:dyDescent="0.25">
      <c r="A650" s="1">
        <v>84</v>
      </c>
      <c r="B650" t="s">
        <v>1312</v>
      </c>
      <c r="C650" t="s">
        <v>1313</v>
      </c>
    </row>
    <row r="651" spans="1:3" x14ac:dyDescent="0.25">
      <c r="A651" s="1">
        <v>85</v>
      </c>
      <c r="B651" t="s">
        <v>1314</v>
      </c>
      <c r="C651" t="s">
        <v>1315</v>
      </c>
    </row>
    <row r="652" spans="1:3" x14ac:dyDescent="0.25">
      <c r="A652" s="1">
        <v>86</v>
      </c>
      <c r="B652" t="s">
        <v>1316</v>
      </c>
      <c r="C652" t="s">
        <v>1317</v>
      </c>
    </row>
    <row r="653" spans="1:3" x14ac:dyDescent="0.25">
      <c r="A653" s="1">
        <v>87</v>
      </c>
      <c r="B653" t="s">
        <v>1318</v>
      </c>
      <c r="C653" t="s">
        <v>1319</v>
      </c>
    </row>
    <row r="654" spans="1:3" x14ac:dyDescent="0.25">
      <c r="A654" s="1">
        <v>88</v>
      </c>
      <c r="B654" t="s">
        <v>1320</v>
      </c>
      <c r="C654" t="s">
        <v>1321</v>
      </c>
    </row>
    <row r="655" spans="1:3" x14ac:dyDescent="0.25">
      <c r="A655" s="1">
        <v>89</v>
      </c>
      <c r="B655" t="s">
        <v>1322</v>
      </c>
      <c r="C655" t="s">
        <v>1323</v>
      </c>
    </row>
    <row r="656" spans="1:3" x14ac:dyDescent="0.25">
      <c r="A656" s="1">
        <v>90</v>
      </c>
      <c r="B656" t="s">
        <v>1324</v>
      </c>
      <c r="C656" t="s">
        <v>1325</v>
      </c>
    </row>
    <row r="657" spans="1:3" x14ac:dyDescent="0.25">
      <c r="A657" s="1">
        <v>91</v>
      </c>
      <c r="B657" t="s">
        <v>1326</v>
      </c>
      <c r="C657" t="s">
        <v>1327</v>
      </c>
    </row>
    <row r="658" spans="1:3" x14ac:dyDescent="0.25">
      <c r="A658" s="1">
        <v>92</v>
      </c>
      <c r="B658" t="s">
        <v>1328</v>
      </c>
      <c r="C658" t="s">
        <v>1329</v>
      </c>
    </row>
    <row r="659" spans="1:3" x14ac:dyDescent="0.25">
      <c r="A659" s="1">
        <v>93</v>
      </c>
      <c r="B659" t="s">
        <v>1330</v>
      </c>
      <c r="C659" t="s">
        <v>1331</v>
      </c>
    </row>
    <row r="660" spans="1:3" x14ac:dyDescent="0.25">
      <c r="A660" s="1">
        <v>94</v>
      </c>
      <c r="B660" t="s">
        <v>1332</v>
      </c>
      <c r="C660" t="s">
        <v>1333</v>
      </c>
    </row>
    <row r="661" spans="1:3" x14ac:dyDescent="0.25">
      <c r="A661" s="1">
        <v>95</v>
      </c>
      <c r="B661" t="s">
        <v>1334</v>
      </c>
      <c r="C661" t="s">
        <v>1335</v>
      </c>
    </row>
    <row r="662" spans="1:3" x14ac:dyDescent="0.25">
      <c r="A662" s="1">
        <v>96</v>
      </c>
      <c r="B662" t="s">
        <v>1336</v>
      </c>
      <c r="C662" t="s">
        <v>1337</v>
      </c>
    </row>
    <row r="663" spans="1:3" x14ac:dyDescent="0.25">
      <c r="A663" s="1">
        <v>97</v>
      </c>
      <c r="B663" t="s">
        <v>1338</v>
      </c>
      <c r="C663" t="s">
        <v>1339</v>
      </c>
    </row>
    <row r="664" spans="1:3" x14ac:dyDescent="0.25">
      <c r="A664" s="1">
        <v>98</v>
      </c>
      <c r="B664" t="s">
        <v>1340</v>
      </c>
      <c r="C664" t="s">
        <v>1341</v>
      </c>
    </row>
    <row r="665" spans="1:3" x14ac:dyDescent="0.25">
      <c r="A665" s="1">
        <v>99</v>
      </c>
      <c r="B665" t="s">
        <v>1342</v>
      </c>
      <c r="C665" t="s">
        <v>1343</v>
      </c>
    </row>
    <row r="666" spans="1:3" x14ac:dyDescent="0.25">
      <c r="A666" s="1">
        <v>100</v>
      </c>
      <c r="B666" t="s">
        <v>1344</v>
      </c>
      <c r="C666" t="s">
        <v>1345</v>
      </c>
    </row>
    <row r="667" spans="1:3" x14ac:dyDescent="0.25">
      <c r="A667" s="1">
        <v>101</v>
      </c>
      <c r="B667" t="s">
        <v>1346</v>
      </c>
      <c r="C667" t="s">
        <v>1347</v>
      </c>
    </row>
    <row r="668" spans="1:3" x14ac:dyDescent="0.25">
      <c r="A668" s="1">
        <v>102</v>
      </c>
      <c r="B668" t="s">
        <v>1348</v>
      </c>
      <c r="C668" t="s">
        <v>1349</v>
      </c>
    </row>
    <row r="669" spans="1:3" x14ac:dyDescent="0.25">
      <c r="A669" s="1">
        <v>103</v>
      </c>
      <c r="B669" t="s">
        <v>1350</v>
      </c>
      <c r="C669" t="s">
        <v>1351</v>
      </c>
    </row>
    <row r="670" spans="1:3" x14ac:dyDescent="0.25">
      <c r="A670" s="1">
        <v>104</v>
      </c>
      <c r="B670" t="s">
        <v>1352</v>
      </c>
      <c r="C670" t="s">
        <v>1353</v>
      </c>
    </row>
    <row r="671" spans="1:3" x14ac:dyDescent="0.25">
      <c r="A671" s="1">
        <v>105</v>
      </c>
      <c r="B671" t="s">
        <v>1354</v>
      </c>
      <c r="C671" t="s">
        <v>1355</v>
      </c>
    </row>
    <row r="672" spans="1:3" x14ac:dyDescent="0.25">
      <c r="A672" s="1">
        <v>106</v>
      </c>
      <c r="B672" t="s">
        <v>1356</v>
      </c>
      <c r="C672" t="s">
        <v>1357</v>
      </c>
    </row>
    <row r="673" spans="1:3" x14ac:dyDescent="0.25">
      <c r="A673" s="1">
        <v>107</v>
      </c>
      <c r="B673" t="s">
        <v>1358</v>
      </c>
      <c r="C673" t="s">
        <v>1359</v>
      </c>
    </row>
    <row r="674" spans="1:3" x14ac:dyDescent="0.25">
      <c r="A674" s="1">
        <v>108</v>
      </c>
      <c r="B674" t="s">
        <v>1360</v>
      </c>
      <c r="C674" t="s">
        <v>1361</v>
      </c>
    </row>
    <row r="675" spans="1:3" x14ac:dyDescent="0.25">
      <c r="A675" s="1">
        <v>109</v>
      </c>
      <c r="B675" t="s">
        <v>1362</v>
      </c>
      <c r="C675" t="s">
        <v>1363</v>
      </c>
    </row>
    <row r="676" spans="1:3" x14ac:dyDescent="0.25">
      <c r="A676" s="1">
        <v>110</v>
      </c>
      <c r="B676" t="s">
        <v>1364</v>
      </c>
      <c r="C676" t="s">
        <v>1365</v>
      </c>
    </row>
    <row r="677" spans="1:3" x14ac:dyDescent="0.25">
      <c r="A677" s="1">
        <v>111</v>
      </c>
      <c r="B677" t="s">
        <v>1366</v>
      </c>
      <c r="C677" t="s">
        <v>1367</v>
      </c>
    </row>
    <row r="678" spans="1:3" x14ac:dyDescent="0.25">
      <c r="A678" s="1">
        <v>112</v>
      </c>
      <c r="B678" t="s">
        <v>1368</v>
      </c>
      <c r="C678" t="s">
        <v>1369</v>
      </c>
    </row>
    <row r="679" spans="1:3" x14ac:dyDescent="0.25">
      <c r="A679" s="1">
        <v>113</v>
      </c>
      <c r="B679" t="s">
        <v>1370</v>
      </c>
      <c r="C679" t="s">
        <v>1371</v>
      </c>
    </row>
    <row r="680" spans="1:3" x14ac:dyDescent="0.25">
      <c r="A680" s="1">
        <v>114</v>
      </c>
      <c r="B680" t="s">
        <v>1372</v>
      </c>
      <c r="C680" t="s">
        <v>1373</v>
      </c>
    </row>
    <row r="681" spans="1:3" x14ac:dyDescent="0.25">
      <c r="A681" s="1">
        <v>115</v>
      </c>
      <c r="B681" t="s">
        <v>1374</v>
      </c>
      <c r="C681" t="s">
        <v>1375</v>
      </c>
    </row>
    <row r="682" spans="1:3" x14ac:dyDescent="0.25">
      <c r="A682" s="1">
        <v>116</v>
      </c>
      <c r="B682" t="s">
        <v>1376</v>
      </c>
      <c r="C682" t="s">
        <v>1377</v>
      </c>
    </row>
    <row r="683" spans="1:3" x14ac:dyDescent="0.25">
      <c r="A683" s="1">
        <v>117</v>
      </c>
      <c r="B683" t="s">
        <v>1378</v>
      </c>
      <c r="C683" t="s">
        <v>1379</v>
      </c>
    </row>
    <row r="684" spans="1:3" x14ac:dyDescent="0.25">
      <c r="A684" s="1">
        <v>118</v>
      </c>
      <c r="B684" t="s">
        <v>1380</v>
      </c>
      <c r="C684" t="s">
        <v>1381</v>
      </c>
    </row>
    <row r="685" spans="1:3" x14ac:dyDescent="0.25">
      <c r="A685" s="1">
        <v>119</v>
      </c>
      <c r="B685" t="s">
        <v>1382</v>
      </c>
      <c r="C685" t="s">
        <v>1383</v>
      </c>
    </row>
    <row r="686" spans="1:3" x14ac:dyDescent="0.25">
      <c r="A686" s="1">
        <v>120</v>
      </c>
      <c r="B686" t="s">
        <v>1384</v>
      </c>
      <c r="C686" t="s">
        <v>1385</v>
      </c>
    </row>
    <row r="687" spans="1:3" x14ac:dyDescent="0.25">
      <c r="A687" s="1">
        <v>121</v>
      </c>
      <c r="B687" t="s">
        <v>1386</v>
      </c>
      <c r="C687" t="s">
        <v>1387</v>
      </c>
    </row>
    <row r="688" spans="1:3" x14ac:dyDescent="0.25">
      <c r="A688" s="1">
        <v>122</v>
      </c>
      <c r="B688" t="s">
        <v>1386</v>
      </c>
      <c r="C688" t="s">
        <v>1388</v>
      </c>
    </row>
    <row r="689" spans="1:3" x14ac:dyDescent="0.25">
      <c r="A689" s="1">
        <v>123</v>
      </c>
      <c r="B689" t="s">
        <v>1389</v>
      </c>
      <c r="C689" t="s">
        <v>1390</v>
      </c>
    </row>
    <row r="690" spans="1:3" x14ac:dyDescent="0.25">
      <c r="A690" s="1">
        <v>124</v>
      </c>
      <c r="B690" t="s">
        <v>1391</v>
      </c>
      <c r="C690" t="s">
        <v>1392</v>
      </c>
    </row>
    <row r="691" spans="1:3" x14ac:dyDescent="0.25">
      <c r="A691" s="1">
        <v>125</v>
      </c>
      <c r="B691" t="s">
        <v>478</v>
      </c>
      <c r="C691" t="s">
        <v>479</v>
      </c>
    </row>
    <row r="692" spans="1:3" x14ac:dyDescent="0.25">
      <c r="A692" s="1">
        <v>126</v>
      </c>
      <c r="B692" t="s">
        <v>1393</v>
      </c>
      <c r="C692" t="s">
        <v>1394</v>
      </c>
    </row>
    <row r="693" spans="1:3" x14ac:dyDescent="0.25">
      <c r="A693" s="1">
        <v>127</v>
      </c>
      <c r="B693" t="s">
        <v>1395</v>
      </c>
      <c r="C693" t="s">
        <v>1396</v>
      </c>
    </row>
    <row r="694" spans="1:3" x14ac:dyDescent="0.25">
      <c r="A694" s="1">
        <v>128</v>
      </c>
      <c r="B694" t="s">
        <v>1397</v>
      </c>
      <c r="C694" t="s">
        <v>1398</v>
      </c>
    </row>
    <row r="695" spans="1:3" x14ac:dyDescent="0.25">
      <c r="A695" s="1">
        <v>129</v>
      </c>
      <c r="B695" t="s">
        <v>1399</v>
      </c>
      <c r="C695" t="s">
        <v>1400</v>
      </c>
    </row>
    <row r="696" spans="1:3" x14ac:dyDescent="0.25">
      <c r="A696" s="1">
        <v>130</v>
      </c>
      <c r="B696" t="s">
        <v>1401</v>
      </c>
      <c r="C696" t="s">
        <v>1402</v>
      </c>
    </row>
    <row r="697" spans="1:3" x14ac:dyDescent="0.25">
      <c r="A697" s="1">
        <v>131</v>
      </c>
      <c r="B697" t="s">
        <v>1403</v>
      </c>
      <c r="C697" t="s">
        <v>1404</v>
      </c>
    </row>
    <row r="698" spans="1:3" x14ac:dyDescent="0.25">
      <c r="A698" s="1">
        <v>132</v>
      </c>
      <c r="B698" t="s">
        <v>1405</v>
      </c>
      <c r="C698" t="s">
        <v>1406</v>
      </c>
    </row>
    <row r="699" spans="1:3" x14ac:dyDescent="0.25">
      <c r="A699" s="1">
        <v>133</v>
      </c>
      <c r="B699" t="s">
        <v>1407</v>
      </c>
      <c r="C699" t="s">
        <v>1408</v>
      </c>
    </row>
    <row r="700" spans="1:3" x14ac:dyDescent="0.25">
      <c r="A700" s="1">
        <v>134</v>
      </c>
      <c r="B700" t="s">
        <v>1409</v>
      </c>
      <c r="C700" t="s">
        <v>1410</v>
      </c>
    </row>
    <row r="701" spans="1:3" x14ac:dyDescent="0.25">
      <c r="A701" s="1">
        <v>135</v>
      </c>
      <c r="B701" t="s">
        <v>1411</v>
      </c>
      <c r="C701" t="s">
        <v>1412</v>
      </c>
    </row>
    <row r="702" spans="1:3" x14ac:dyDescent="0.25">
      <c r="A702" s="1">
        <v>136</v>
      </c>
      <c r="B702" t="s">
        <v>1413</v>
      </c>
      <c r="C702" t="s">
        <v>1414</v>
      </c>
    </row>
    <row r="703" spans="1:3" x14ac:dyDescent="0.25">
      <c r="A703" s="1">
        <v>137</v>
      </c>
      <c r="B703" t="s">
        <v>1415</v>
      </c>
      <c r="C703" t="s">
        <v>1416</v>
      </c>
    </row>
    <row r="704" spans="1:3" x14ac:dyDescent="0.25">
      <c r="A704" s="1">
        <v>138</v>
      </c>
      <c r="B704" t="s">
        <v>1417</v>
      </c>
      <c r="C704" t="s">
        <v>1418</v>
      </c>
    </row>
    <row r="705" spans="1:3" x14ac:dyDescent="0.25">
      <c r="A705" s="1">
        <v>139</v>
      </c>
      <c r="B705" t="s">
        <v>1419</v>
      </c>
      <c r="C705" t="s">
        <v>1420</v>
      </c>
    </row>
    <row r="706" spans="1:3" x14ac:dyDescent="0.25">
      <c r="A706" s="1">
        <v>140</v>
      </c>
      <c r="B706" t="s">
        <v>1421</v>
      </c>
      <c r="C706" t="s">
        <v>1422</v>
      </c>
    </row>
    <row r="707" spans="1:3" x14ac:dyDescent="0.25">
      <c r="A707" s="1">
        <v>141</v>
      </c>
      <c r="B707" t="s">
        <v>1423</v>
      </c>
      <c r="C707" t="s">
        <v>1424</v>
      </c>
    </row>
    <row r="708" spans="1:3" x14ac:dyDescent="0.25">
      <c r="A708" s="1">
        <v>142</v>
      </c>
      <c r="B708" t="s">
        <v>1425</v>
      </c>
      <c r="C708" t="s">
        <v>1426</v>
      </c>
    </row>
    <row r="709" spans="1:3" x14ac:dyDescent="0.25">
      <c r="A709" s="1">
        <v>143</v>
      </c>
      <c r="B709" t="s">
        <v>1427</v>
      </c>
      <c r="C709" t="s">
        <v>1428</v>
      </c>
    </row>
    <row r="710" spans="1:3" x14ac:dyDescent="0.25">
      <c r="A710" s="1">
        <v>144</v>
      </c>
      <c r="B710" t="s">
        <v>1429</v>
      </c>
      <c r="C710" t="s">
        <v>1430</v>
      </c>
    </row>
    <row r="711" spans="1:3" x14ac:dyDescent="0.25">
      <c r="A711" s="1">
        <v>145</v>
      </c>
      <c r="B711" t="s">
        <v>518</v>
      </c>
      <c r="C711" t="s">
        <v>519</v>
      </c>
    </row>
    <row r="712" spans="1:3" x14ac:dyDescent="0.25">
      <c r="A712" s="1">
        <v>146</v>
      </c>
      <c r="B712" t="s">
        <v>1431</v>
      </c>
      <c r="C712" t="s">
        <v>1432</v>
      </c>
    </row>
    <row r="713" spans="1:3" x14ac:dyDescent="0.25">
      <c r="A713" s="1">
        <v>147</v>
      </c>
      <c r="B713" t="s">
        <v>1433</v>
      </c>
      <c r="C713" t="s">
        <v>1434</v>
      </c>
    </row>
    <row r="714" spans="1:3" x14ac:dyDescent="0.25">
      <c r="A714" s="1">
        <v>148</v>
      </c>
      <c r="B714" t="s">
        <v>1435</v>
      </c>
      <c r="C714" t="s">
        <v>1436</v>
      </c>
    </row>
    <row r="715" spans="1:3" x14ac:dyDescent="0.25">
      <c r="A715" s="1">
        <v>149</v>
      </c>
      <c r="B715" t="s">
        <v>1437</v>
      </c>
      <c r="C715" t="s">
        <v>1438</v>
      </c>
    </row>
    <row r="716" spans="1:3" x14ac:dyDescent="0.25">
      <c r="A716" s="1">
        <v>150</v>
      </c>
      <c r="B716" t="s">
        <v>1439</v>
      </c>
      <c r="C716" t="s">
        <v>1440</v>
      </c>
    </row>
    <row r="717" spans="1:3" x14ac:dyDescent="0.25">
      <c r="A717" s="1">
        <v>151</v>
      </c>
      <c r="B717" t="s">
        <v>1441</v>
      </c>
      <c r="C717" t="s">
        <v>1442</v>
      </c>
    </row>
    <row r="718" spans="1:3" x14ac:dyDescent="0.25">
      <c r="A718" s="1">
        <v>152</v>
      </c>
      <c r="B718" t="s">
        <v>1443</v>
      </c>
      <c r="C718" t="s">
        <v>1444</v>
      </c>
    </row>
    <row r="719" spans="1:3" x14ac:dyDescent="0.25">
      <c r="A719" s="1">
        <v>153</v>
      </c>
      <c r="B719" t="s">
        <v>1445</v>
      </c>
      <c r="C719" t="s">
        <v>1446</v>
      </c>
    </row>
    <row r="720" spans="1:3" x14ac:dyDescent="0.25">
      <c r="A720" s="1">
        <v>154</v>
      </c>
      <c r="B720" t="s">
        <v>1447</v>
      </c>
      <c r="C720" t="s">
        <v>1448</v>
      </c>
    </row>
    <row r="721" spans="1:3" x14ac:dyDescent="0.25">
      <c r="A721" s="1">
        <v>155</v>
      </c>
      <c r="B721" t="s">
        <v>1449</v>
      </c>
      <c r="C721" t="s">
        <v>1450</v>
      </c>
    </row>
    <row r="722" spans="1:3" x14ac:dyDescent="0.25">
      <c r="A722" s="1">
        <v>156</v>
      </c>
      <c r="B722" t="s">
        <v>1451</v>
      </c>
      <c r="C722" t="s">
        <v>1452</v>
      </c>
    </row>
    <row r="723" spans="1:3" x14ac:dyDescent="0.25">
      <c r="A723" s="1">
        <v>157</v>
      </c>
      <c r="B723" t="s">
        <v>1453</v>
      </c>
      <c r="C723" t="s">
        <v>1454</v>
      </c>
    </row>
    <row r="724" spans="1:3" x14ac:dyDescent="0.25">
      <c r="A724" s="1">
        <v>158</v>
      </c>
      <c r="B724" t="s">
        <v>1455</v>
      </c>
      <c r="C724" t="s">
        <v>1456</v>
      </c>
    </row>
    <row r="725" spans="1:3" x14ac:dyDescent="0.25">
      <c r="A725" s="1">
        <v>159</v>
      </c>
      <c r="B725" t="s">
        <v>1457</v>
      </c>
      <c r="C725" t="s">
        <v>1458</v>
      </c>
    </row>
    <row r="726" spans="1:3" x14ac:dyDescent="0.25">
      <c r="A726" s="1">
        <v>160</v>
      </c>
      <c r="B726" t="s">
        <v>1459</v>
      </c>
      <c r="C726" t="s">
        <v>1460</v>
      </c>
    </row>
    <row r="727" spans="1:3" x14ac:dyDescent="0.25">
      <c r="A727" s="1">
        <v>161</v>
      </c>
      <c r="B727" t="s">
        <v>1461</v>
      </c>
      <c r="C727" t="s">
        <v>1462</v>
      </c>
    </row>
    <row r="728" spans="1:3" x14ac:dyDescent="0.25">
      <c r="A728" s="1">
        <v>162</v>
      </c>
      <c r="B728" t="s">
        <v>1463</v>
      </c>
      <c r="C728" t="s">
        <v>1464</v>
      </c>
    </row>
    <row r="729" spans="1:3" x14ac:dyDescent="0.25">
      <c r="A729" s="1">
        <v>163</v>
      </c>
      <c r="B729" t="s">
        <v>554</v>
      </c>
      <c r="C729" t="s">
        <v>555</v>
      </c>
    </row>
    <row r="730" spans="1:3" x14ac:dyDescent="0.25">
      <c r="A730" s="1">
        <v>164</v>
      </c>
      <c r="B730" t="s">
        <v>1465</v>
      </c>
      <c r="C730" t="s">
        <v>1466</v>
      </c>
    </row>
    <row r="731" spans="1:3" x14ac:dyDescent="0.25">
      <c r="A731" s="1">
        <v>165</v>
      </c>
      <c r="B731" t="s">
        <v>1467</v>
      </c>
      <c r="C731" t="s">
        <v>1468</v>
      </c>
    </row>
    <row r="732" spans="1:3" x14ac:dyDescent="0.25">
      <c r="A732" s="1">
        <v>166</v>
      </c>
      <c r="B732" t="s">
        <v>1469</v>
      </c>
      <c r="C732" t="s">
        <v>1470</v>
      </c>
    </row>
    <row r="733" spans="1:3" x14ac:dyDescent="0.25">
      <c r="A733" s="1">
        <v>167</v>
      </c>
      <c r="B733" t="s">
        <v>1471</v>
      </c>
      <c r="C733" t="s">
        <v>1472</v>
      </c>
    </row>
    <row r="734" spans="1:3" x14ac:dyDescent="0.25">
      <c r="A734" s="1">
        <v>168</v>
      </c>
      <c r="B734" t="s">
        <v>1473</v>
      </c>
      <c r="C734" t="s">
        <v>1474</v>
      </c>
    </row>
    <row r="735" spans="1:3" x14ac:dyDescent="0.25">
      <c r="A735" s="1">
        <v>169</v>
      </c>
      <c r="B735" t="s">
        <v>1475</v>
      </c>
      <c r="C735" t="s">
        <v>1476</v>
      </c>
    </row>
    <row r="736" spans="1:3" x14ac:dyDescent="0.25">
      <c r="A736" s="1">
        <v>170</v>
      </c>
      <c r="B736" t="s">
        <v>1477</v>
      </c>
      <c r="C736" t="s">
        <v>1478</v>
      </c>
    </row>
    <row r="737" spans="1:3" x14ac:dyDescent="0.25">
      <c r="A737" s="1">
        <v>171</v>
      </c>
      <c r="B737" t="s">
        <v>1479</v>
      </c>
      <c r="C737" t="s">
        <v>1480</v>
      </c>
    </row>
    <row r="738" spans="1:3" x14ac:dyDescent="0.25">
      <c r="A738" s="1">
        <v>172</v>
      </c>
      <c r="B738" t="s">
        <v>1481</v>
      </c>
      <c r="C738" t="s">
        <v>1482</v>
      </c>
    </row>
    <row r="739" spans="1:3" x14ac:dyDescent="0.25">
      <c r="A739" s="1">
        <v>173</v>
      </c>
      <c r="B739" t="s">
        <v>1483</v>
      </c>
      <c r="C739" t="s">
        <v>1484</v>
      </c>
    </row>
    <row r="740" spans="1:3" x14ac:dyDescent="0.25">
      <c r="A740" s="1">
        <v>174</v>
      </c>
      <c r="B740" t="s">
        <v>1485</v>
      </c>
      <c r="C740" t="s">
        <v>1486</v>
      </c>
    </row>
    <row r="741" spans="1:3" x14ac:dyDescent="0.25">
      <c r="A741" s="1">
        <v>175</v>
      </c>
      <c r="B741" t="s">
        <v>1487</v>
      </c>
      <c r="C741" t="s">
        <v>1488</v>
      </c>
    </row>
    <row r="742" spans="1:3" x14ac:dyDescent="0.25">
      <c r="A742" s="1">
        <v>176</v>
      </c>
      <c r="B742" t="s">
        <v>1489</v>
      </c>
      <c r="C742" t="s">
        <v>1490</v>
      </c>
    </row>
    <row r="743" spans="1:3" x14ac:dyDescent="0.25">
      <c r="A743" s="1">
        <v>177</v>
      </c>
      <c r="B743" t="s">
        <v>1491</v>
      </c>
      <c r="C743" t="s">
        <v>1492</v>
      </c>
    </row>
    <row r="744" spans="1:3" x14ac:dyDescent="0.25">
      <c r="A744" s="1">
        <v>178</v>
      </c>
      <c r="B744" t="s">
        <v>1493</v>
      </c>
      <c r="C744" t="s">
        <v>1494</v>
      </c>
    </row>
    <row r="745" spans="1:3" x14ac:dyDescent="0.25">
      <c r="A745" s="1">
        <v>179</v>
      </c>
      <c r="B745" t="s">
        <v>1495</v>
      </c>
      <c r="C745" t="s">
        <v>1496</v>
      </c>
    </row>
    <row r="746" spans="1:3" x14ac:dyDescent="0.25">
      <c r="A746" s="1">
        <v>180</v>
      </c>
      <c r="B746" t="s">
        <v>1497</v>
      </c>
      <c r="C746" t="s">
        <v>1498</v>
      </c>
    </row>
    <row r="747" spans="1:3" x14ac:dyDescent="0.25">
      <c r="A747" s="1">
        <v>181</v>
      </c>
      <c r="B747" t="s">
        <v>1499</v>
      </c>
      <c r="C747" t="s">
        <v>1500</v>
      </c>
    </row>
    <row r="748" spans="1:3" x14ac:dyDescent="0.25">
      <c r="A748" s="1">
        <v>182</v>
      </c>
      <c r="B748" t="s">
        <v>1501</v>
      </c>
      <c r="C748" t="s">
        <v>1502</v>
      </c>
    </row>
    <row r="749" spans="1:3" x14ac:dyDescent="0.25">
      <c r="A749" s="1">
        <v>183</v>
      </c>
      <c r="B749" t="s">
        <v>1503</v>
      </c>
      <c r="C749" t="s">
        <v>1504</v>
      </c>
    </row>
    <row r="750" spans="1:3" x14ac:dyDescent="0.25">
      <c r="A750" s="1">
        <v>184</v>
      </c>
      <c r="B750" t="s">
        <v>1505</v>
      </c>
      <c r="C750" t="s">
        <v>1506</v>
      </c>
    </row>
    <row r="751" spans="1:3" x14ac:dyDescent="0.25">
      <c r="A751" s="1">
        <v>185</v>
      </c>
      <c r="B751" t="s">
        <v>1507</v>
      </c>
      <c r="C751" t="s">
        <v>1508</v>
      </c>
    </row>
    <row r="752" spans="1:3" x14ac:dyDescent="0.25">
      <c r="A752" s="1">
        <v>186</v>
      </c>
      <c r="B752" t="s">
        <v>1509</v>
      </c>
      <c r="C752" t="s">
        <v>1510</v>
      </c>
    </row>
    <row r="753" spans="1:3" x14ac:dyDescent="0.25">
      <c r="A753" s="1">
        <v>187</v>
      </c>
      <c r="B753" t="s">
        <v>1511</v>
      </c>
      <c r="C753" t="s">
        <v>1512</v>
      </c>
    </row>
    <row r="754" spans="1:3" x14ac:dyDescent="0.25">
      <c r="A754" s="1">
        <v>188</v>
      </c>
      <c r="B754" t="s">
        <v>604</v>
      </c>
      <c r="C754" t="s">
        <v>605</v>
      </c>
    </row>
    <row r="755" spans="1:3" x14ac:dyDescent="0.25">
      <c r="A755" s="1">
        <v>189</v>
      </c>
      <c r="B755" t="s">
        <v>1513</v>
      </c>
      <c r="C755" t="s">
        <v>1514</v>
      </c>
    </row>
    <row r="756" spans="1:3" x14ac:dyDescent="0.25">
      <c r="A756" s="1">
        <v>190</v>
      </c>
      <c r="B756" t="s">
        <v>1515</v>
      </c>
      <c r="C756" t="s">
        <v>1516</v>
      </c>
    </row>
    <row r="757" spans="1:3" x14ac:dyDescent="0.25">
      <c r="A757" s="1">
        <v>191</v>
      </c>
      <c r="B757" t="s">
        <v>1517</v>
      </c>
      <c r="C757" t="s">
        <v>1518</v>
      </c>
    </row>
    <row r="758" spans="1:3" x14ac:dyDescent="0.25">
      <c r="A758" s="1">
        <v>192</v>
      </c>
      <c r="B758" t="s">
        <v>1519</v>
      </c>
      <c r="C758" t="s">
        <v>1520</v>
      </c>
    </row>
    <row r="759" spans="1:3" x14ac:dyDescent="0.25">
      <c r="A759" s="1">
        <v>193</v>
      </c>
      <c r="B759" t="s">
        <v>1521</v>
      </c>
      <c r="C759" t="s">
        <v>1522</v>
      </c>
    </row>
    <row r="760" spans="1:3" x14ac:dyDescent="0.25">
      <c r="A760" s="1">
        <v>194</v>
      </c>
      <c r="B760" t="s">
        <v>1258</v>
      </c>
      <c r="C760" t="s">
        <v>1523</v>
      </c>
    </row>
    <row r="761" spans="1:3" x14ac:dyDescent="0.25">
      <c r="A761" s="1">
        <v>195</v>
      </c>
      <c r="B761" t="s">
        <v>1524</v>
      </c>
      <c r="C761" t="s">
        <v>1525</v>
      </c>
    </row>
    <row r="762" spans="1:3" x14ac:dyDescent="0.25">
      <c r="A762" s="1">
        <v>196</v>
      </c>
      <c r="B762" t="s">
        <v>1526</v>
      </c>
      <c r="C762" t="s">
        <v>1527</v>
      </c>
    </row>
    <row r="763" spans="1:3" x14ac:dyDescent="0.25">
      <c r="A763" s="1">
        <v>197</v>
      </c>
      <c r="B763" t="s">
        <v>1526</v>
      </c>
      <c r="C763" t="s">
        <v>1528</v>
      </c>
    </row>
    <row r="764" spans="1:3" x14ac:dyDescent="0.25">
      <c r="A764" s="1">
        <v>198</v>
      </c>
      <c r="B764" t="s">
        <v>1529</v>
      </c>
      <c r="C764" t="s">
        <v>1530</v>
      </c>
    </row>
    <row r="765" spans="1:3" x14ac:dyDescent="0.25">
      <c r="A765" s="1">
        <v>199</v>
      </c>
      <c r="B765" t="s">
        <v>1531</v>
      </c>
      <c r="C765" t="s">
        <v>1532</v>
      </c>
    </row>
    <row r="766" spans="1:3" x14ac:dyDescent="0.25">
      <c r="A766" s="1">
        <v>200</v>
      </c>
      <c r="B766" t="s">
        <v>1304</v>
      </c>
      <c r="C766" t="s">
        <v>1533</v>
      </c>
    </row>
    <row r="767" spans="1:3" x14ac:dyDescent="0.25">
      <c r="A767" s="1">
        <v>201</v>
      </c>
      <c r="B767" t="s">
        <v>1534</v>
      </c>
      <c r="C767" t="s">
        <v>1535</v>
      </c>
    </row>
    <row r="768" spans="1:3" x14ac:dyDescent="0.25">
      <c r="A768" s="1">
        <v>202</v>
      </c>
      <c r="B768" t="s">
        <v>1534</v>
      </c>
      <c r="C768" t="s">
        <v>1536</v>
      </c>
    </row>
    <row r="769" spans="1:3" x14ac:dyDescent="0.25">
      <c r="A769" s="1">
        <v>203</v>
      </c>
      <c r="B769" t="s">
        <v>1537</v>
      </c>
      <c r="C769" t="s">
        <v>1538</v>
      </c>
    </row>
    <row r="770" spans="1:3" x14ac:dyDescent="0.25">
      <c r="A770" s="1">
        <v>204</v>
      </c>
      <c r="B770" t="s">
        <v>1539</v>
      </c>
      <c r="C770" t="s">
        <v>1540</v>
      </c>
    </row>
    <row r="771" spans="1:3" x14ac:dyDescent="0.25">
      <c r="A771" s="1">
        <v>205</v>
      </c>
      <c r="B771" t="s">
        <v>1541</v>
      </c>
      <c r="C771" t="s">
        <v>1542</v>
      </c>
    </row>
    <row r="772" spans="1:3" x14ac:dyDescent="0.25">
      <c r="A772" s="1">
        <v>206</v>
      </c>
      <c r="B772" t="s">
        <v>1543</v>
      </c>
      <c r="C772" t="s">
        <v>1544</v>
      </c>
    </row>
    <row r="773" spans="1:3" x14ac:dyDescent="0.25">
      <c r="A773" s="1">
        <v>207</v>
      </c>
      <c r="B773" t="s">
        <v>1545</v>
      </c>
      <c r="C773" t="s">
        <v>1546</v>
      </c>
    </row>
    <row r="774" spans="1:3" x14ac:dyDescent="0.25">
      <c r="A774" s="1">
        <v>208</v>
      </c>
      <c r="B774" t="s">
        <v>1547</v>
      </c>
      <c r="C774" t="s">
        <v>1548</v>
      </c>
    </row>
    <row r="775" spans="1:3" x14ac:dyDescent="0.25">
      <c r="A775" s="1">
        <v>209</v>
      </c>
      <c r="B775" t="s">
        <v>1549</v>
      </c>
      <c r="C775" t="s">
        <v>1550</v>
      </c>
    </row>
    <row r="776" spans="1:3" x14ac:dyDescent="0.25">
      <c r="A776" s="1">
        <v>210</v>
      </c>
      <c r="B776" t="s">
        <v>1551</v>
      </c>
      <c r="C776" t="s">
        <v>1552</v>
      </c>
    </row>
    <row r="777" spans="1:3" x14ac:dyDescent="0.25">
      <c r="A777" s="1">
        <v>211</v>
      </c>
      <c r="B777" t="s">
        <v>1553</v>
      </c>
      <c r="C777" t="s">
        <v>1554</v>
      </c>
    </row>
    <row r="778" spans="1:3" x14ac:dyDescent="0.25">
      <c r="A778" s="1">
        <v>212</v>
      </c>
      <c r="B778" t="s">
        <v>652</v>
      </c>
      <c r="C778" t="s">
        <v>653</v>
      </c>
    </row>
    <row r="779" spans="1:3" x14ac:dyDescent="0.25">
      <c r="A779" s="1">
        <v>213</v>
      </c>
      <c r="B779" t="s">
        <v>654</v>
      </c>
      <c r="C779" t="s">
        <v>655</v>
      </c>
    </row>
    <row r="780" spans="1:3" x14ac:dyDescent="0.25">
      <c r="A780" s="1">
        <v>214</v>
      </c>
      <c r="B780" t="s">
        <v>656</v>
      </c>
      <c r="C780" t="s">
        <v>657</v>
      </c>
    </row>
    <row r="781" spans="1:3" x14ac:dyDescent="0.25">
      <c r="A781" s="1">
        <v>215</v>
      </c>
      <c r="B781" t="s">
        <v>1555</v>
      </c>
      <c r="C781" t="s">
        <v>1556</v>
      </c>
    </row>
    <row r="782" spans="1:3" x14ac:dyDescent="0.25">
      <c r="A782" s="1">
        <v>216</v>
      </c>
      <c r="B782" t="s">
        <v>1557</v>
      </c>
      <c r="C782" t="s">
        <v>1558</v>
      </c>
    </row>
    <row r="783" spans="1:3" x14ac:dyDescent="0.25">
      <c r="A783" s="1">
        <v>217</v>
      </c>
      <c r="B783" t="s">
        <v>1559</v>
      </c>
      <c r="C783" t="s">
        <v>1560</v>
      </c>
    </row>
    <row r="784" spans="1:3" x14ac:dyDescent="0.25">
      <c r="A784" s="1">
        <v>218</v>
      </c>
      <c r="B784" t="s">
        <v>1561</v>
      </c>
      <c r="C784" t="s">
        <v>1562</v>
      </c>
    </row>
    <row r="785" spans="1:3" x14ac:dyDescent="0.25">
      <c r="A785" s="1">
        <v>219</v>
      </c>
      <c r="B785" t="s">
        <v>1563</v>
      </c>
      <c r="C785" t="s">
        <v>1564</v>
      </c>
    </row>
    <row r="786" spans="1:3" x14ac:dyDescent="0.25">
      <c r="A786" s="1">
        <v>220</v>
      </c>
      <c r="B786" t="s">
        <v>668</v>
      </c>
      <c r="C786" t="s">
        <v>669</v>
      </c>
    </row>
    <row r="787" spans="1:3" x14ac:dyDescent="0.25">
      <c r="A787" s="1">
        <v>221</v>
      </c>
      <c r="B787" t="s">
        <v>1565</v>
      </c>
      <c r="C787" t="s">
        <v>1566</v>
      </c>
    </row>
    <row r="788" spans="1:3" x14ac:dyDescent="0.25">
      <c r="A788" s="1">
        <v>222</v>
      </c>
      <c r="B788" t="s">
        <v>1567</v>
      </c>
      <c r="C788" t="s">
        <v>1568</v>
      </c>
    </row>
    <row r="789" spans="1:3" x14ac:dyDescent="0.25">
      <c r="A789" s="1">
        <v>223</v>
      </c>
      <c r="B789" t="s">
        <v>1569</v>
      </c>
      <c r="C789" t="s">
        <v>1570</v>
      </c>
    </row>
    <row r="790" spans="1:3" x14ac:dyDescent="0.25">
      <c r="A790" s="1">
        <v>224</v>
      </c>
      <c r="B790" t="s">
        <v>1571</v>
      </c>
      <c r="C790" t="s">
        <v>1572</v>
      </c>
    </row>
    <row r="791" spans="1:3" x14ac:dyDescent="0.25">
      <c r="A791" s="1">
        <v>225</v>
      </c>
      <c r="B791" t="s">
        <v>1573</v>
      </c>
      <c r="C791" t="s">
        <v>1574</v>
      </c>
    </row>
    <row r="792" spans="1:3" x14ac:dyDescent="0.25">
      <c r="A792" s="1">
        <v>226</v>
      </c>
      <c r="B792" t="s">
        <v>1302</v>
      </c>
      <c r="C792" t="s">
        <v>1575</v>
      </c>
    </row>
    <row r="793" spans="1:3" x14ac:dyDescent="0.25">
      <c r="A793" s="1">
        <v>227</v>
      </c>
      <c r="B793" t="s">
        <v>1290</v>
      </c>
      <c r="C793" t="s">
        <v>1576</v>
      </c>
    </row>
    <row r="794" spans="1:3" x14ac:dyDescent="0.25">
      <c r="A794" s="1">
        <v>228</v>
      </c>
      <c r="B794" t="s">
        <v>1577</v>
      </c>
      <c r="C794" t="s">
        <v>1578</v>
      </c>
    </row>
    <row r="795" spans="1:3" x14ac:dyDescent="0.25">
      <c r="A795" s="1">
        <v>229</v>
      </c>
      <c r="B795" t="s">
        <v>1579</v>
      </c>
      <c r="C795" t="s">
        <v>1580</v>
      </c>
    </row>
    <row r="796" spans="1:3" x14ac:dyDescent="0.25">
      <c r="A796" s="1">
        <v>230</v>
      </c>
      <c r="B796" t="s">
        <v>1581</v>
      </c>
      <c r="C796" t="s">
        <v>1582</v>
      </c>
    </row>
    <row r="797" spans="1:3" x14ac:dyDescent="0.25">
      <c r="A797" s="1">
        <v>231</v>
      </c>
      <c r="B797" t="s">
        <v>1583</v>
      </c>
      <c r="C797" t="s">
        <v>1584</v>
      </c>
    </row>
    <row r="798" spans="1:3" x14ac:dyDescent="0.25">
      <c r="A798" s="1">
        <v>232</v>
      </c>
      <c r="B798" t="s">
        <v>1585</v>
      </c>
      <c r="C798" t="s">
        <v>1586</v>
      </c>
    </row>
    <row r="799" spans="1:3" x14ac:dyDescent="0.25">
      <c r="A799" s="1">
        <v>233</v>
      </c>
      <c r="B799" t="s">
        <v>1587</v>
      </c>
      <c r="C799" t="s">
        <v>1588</v>
      </c>
    </row>
    <row r="800" spans="1:3" x14ac:dyDescent="0.25">
      <c r="A800" s="1">
        <v>234</v>
      </c>
      <c r="B800" t="s">
        <v>1589</v>
      </c>
      <c r="C800" t="s">
        <v>1590</v>
      </c>
    </row>
    <row r="801" spans="1:3" x14ac:dyDescent="0.25">
      <c r="A801" s="1">
        <v>235</v>
      </c>
      <c r="B801" t="s">
        <v>1591</v>
      </c>
      <c r="C801" t="s">
        <v>1592</v>
      </c>
    </row>
    <row r="802" spans="1:3" x14ac:dyDescent="0.25">
      <c r="A802" s="1">
        <v>236</v>
      </c>
      <c r="B802" t="s">
        <v>1593</v>
      </c>
      <c r="C802" t="s">
        <v>1594</v>
      </c>
    </row>
    <row r="803" spans="1:3" x14ac:dyDescent="0.25">
      <c r="A803" s="1">
        <v>237</v>
      </c>
      <c r="B803" t="s">
        <v>1595</v>
      </c>
      <c r="C803" t="s">
        <v>1596</v>
      </c>
    </row>
    <row r="804" spans="1:3" x14ac:dyDescent="0.25">
      <c r="A804" s="1">
        <v>238</v>
      </c>
      <c r="B804" t="s">
        <v>1597</v>
      </c>
      <c r="C804" t="s">
        <v>1598</v>
      </c>
    </row>
    <row r="805" spans="1:3" x14ac:dyDescent="0.25">
      <c r="A805" s="1">
        <v>239</v>
      </c>
      <c r="B805" t="s">
        <v>1599</v>
      </c>
      <c r="C805" t="s">
        <v>1600</v>
      </c>
    </row>
    <row r="806" spans="1:3" x14ac:dyDescent="0.25">
      <c r="A806" s="1">
        <v>240</v>
      </c>
      <c r="B806" t="s">
        <v>1601</v>
      </c>
      <c r="C806" t="s">
        <v>1602</v>
      </c>
    </row>
    <row r="807" spans="1:3" x14ac:dyDescent="0.25">
      <c r="A807" s="1">
        <v>241</v>
      </c>
      <c r="B807" t="s">
        <v>1603</v>
      </c>
      <c r="C807" t="s">
        <v>1604</v>
      </c>
    </row>
    <row r="808" spans="1:3" x14ac:dyDescent="0.25">
      <c r="A808" s="1">
        <v>242</v>
      </c>
      <c r="B808" t="s">
        <v>1605</v>
      </c>
      <c r="C808" t="s">
        <v>1606</v>
      </c>
    </row>
    <row r="809" spans="1:3" x14ac:dyDescent="0.25">
      <c r="A809" s="1">
        <v>243</v>
      </c>
      <c r="B809" t="s">
        <v>1607</v>
      </c>
      <c r="C809" t="s">
        <v>1608</v>
      </c>
    </row>
    <row r="810" spans="1:3" x14ac:dyDescent="0.25">
      <c r="A810" s="1">
        <v>244</v>
      </c>
      <c r="B810" t="s">
        <v>1609</v>
      </c>
      <c r="C810" t="s">
        <v>1610</v>
      </c>
    </row>
    <row r="811" spans="1:3" x14ac:dyDescent="0.25">
      <c r="A811" s="1">
        <v>245</v>
      </c>
      <c r="B811" t="s">
        <v>1611</v>
      </c>
      <c r="C811" t="s">
        <v>1612</v>
      </c>
    </row>
    <row r="812" spans="1:3" x14ac:dyDescent="0.25">
      <c r="A812" s="1">
        <v>246</v>
      </c>
      <c r="B812" t="s">
        <v>1613</v>
      </c>
      <c r="C812" t="s">
        <v>1614</v>
      </c>
    </row>
    <row r="814" spans="1:3" x14ac:dyDescent="0.25">
      <c r="A814" s="29" t="s">
        <v>1724</v>
      </c>
      <c r="B814" s="30" t="s">
        <v>1725</v>
      </c>
      <c r="C814" s="30" t="s">
        <v>1</v>
      </c>
    </row>
    <row r="815" spans="1:3" x14ac:dyDescent="0.25">
      <c r="A815" t="s">
        <v>2624</v>
      </c>
      <c r="B815" t="s">
        <v>2625</v>
      </c>
      <c r="C815" t="str">
        <f>CONCATENATE(A815, " - ",B815)</f>
        <v>0111 - Oficiais da Marinha (NE)</v>
      </c>
    </row>
    <row r="816" spans="1:3" x14ac:dyDescent="0.25">
      <c r="A816" t="s">
        <v>2626</v>
      </c>
      <c r="B816" t="s">
        <v>2627</v>
      </c>
      <c r="C816" t="str">
        <f t="shared" ref="C816:C879" si="0">CONCATENATE(A816, " - ",B816)</f>
        <v>0112 - Oficiais do Exército (NE)</v>
      </c>
    </row>
    <row r="817" spans="1:3" x14ac:dyDescent="0.25">
      <c r="A817" t="s">
        <v>2628</v>
      </c>
      <c r="B817" t="s">
        <v>2629</v>
      </c>
      <c r="C817" t="str">
        <f t="shared" si="0"/>
        <v>0113 - Oficiais da Força Aérea (NE)</v>
      </c>
    </row>
    <row r="818" spans="1:3" x14ac:dyDescent="0.25">
      <c r="A818" t="s">
        <v>2630</v>
      </c>
      <c r="B818" t="s">
        <v>2631</v>
      </c>
      <c r="C818" t="str">
        <f t="shared" si="0"/>
        <v>0211 - Sargentos da Marinha (NE)</v>
      </c>
    </row>
    <row r="819" spans="1:3" x14ac:dyDescent="0.25">
      <c r="A819" t="s">
        <v>2632</v>
      </c>
      <c r="B819" t="s">
        <v>2633</v>
      </c>
      <c r="C819" t="str">
        <f t="shared" si="0"/>
        <v>0212 - Sargentos do Exército (NE)</v>
      </c>
    </row>
    <row r="820" spans="1:3" x14ac:dyDescent="0.25">
      <c r="A820" t="s">
        <v>2634</v>
      </c>
      <c r="B820" t="s">
        <v>2635</v>
      </c>
      <c r="C820" t="str">
        <f t="shared" si="0"/>
        <v>0213 - Sargentos da Força Aérea (NE)</v>
      </c>
    </row>
    <row r="821" spans="1:3" x14ac:dyDescent="0.25">
      <c r="A821" t="s">
        <v>2636</v>
      </c>
      <c r="B821" t="s">
        <v>2637</v>
      </c>
      <c r="C821" t="str">
        <f t="shared" si="0"/>
        <v>0311 - Praças da Marinha (NE)</v>
      </c>
    </row>
    <row r="822" spans="1:3" x14ac:dyDescent="0.25">
      <c r="A822" t="s">
        <v>2638</v>
      </c>
      <c r="B822" t="s">
        <v>2639</v>
      </c>
      <c r="C822" t="str">
        <f t="shared" si="0"/>
        <v>0312 - Praças do Exército (NE)</v>
      </c>
    </row>
    <row r="823" spans="1:3" x14ac:dyDescent="0.25">
      <c r="A823" t="s">
        <v>2640</v>
      </c>
      <c r="B823" t="s">
        <v>2641</v>
      </c>
      <c r="C823" t="str">
        <f t="shared" si="0"/>
        <v>0313 - Praças da Força Aérea (NE)</v>
      </c>
    </row>
    <row r="824" spans="1:3" x14ac:dyDescent="0.25">
      <c r="A824" t="s">
        <v>2642</v>
      </c>
      <c r="B824" t="s">
        <v>2643</v>
      </c>
      <c r="C824" t="str">
        <f t="shared" si="0"/>
        <v xml:space="preserve">1111 - Representantes do poder legislativo e de órgãos executivos </v>
      </c>
    </row>
    <row r="825" spans="1:3" x14ac:dyDescent="0.25">
      <c r="A825" t="s">
        <v>2644</v>
      </c>
      <c r="B825" t="s">
        <v>2645</v>
      </c>
      <c r="C825" t="str">
        <f t="shared" si="0"/>
        <v>1112 - Dirigente superior da Administração Pública</v>
      </c>
    </row>
    <row r="826" spans="1:3" x14ac:dyDescent="0.25">
      <c r="A826" t="s">
        <v>2646</v>
      </c>
      <c r="B826" t="s">
        <v>2647</v>
      </c>
      <c r="C826" t="str">
        <f t="shared" si="0"/>
        <v>1113 - Chefe tradicional e chefe de aldeia</v>
      </c>
    </row>
    <row r="827" spans="1:3" x14ac:dyDescent="0.25">
      <c r="A827" t="s">
        <v>2648</v>
      </c>
      <c r="B827" t="s">
        <v>2649</v>
      </c>
      <c r="C827" t="str">
        <f t="shared" si="0"/>
        <v xml:space="preserve">1114 - Dirigente de organizações de interesse especial </v>
      </c>
    </row>
    <row r="828" spans="1:3" x14ac:dyDescent="0.25">
      <c r="A828" t="s">
        <v>2650</v>
      </c>
      <c r="B828" t="s">
        <v>2651</v>
      </c>
      <c r="C828" t="str">
        <f t="shared" si="0"/>
        <v xml:space="preserve">1120 - Director geral e gestor executivo, de empresas </v>
      </c>
    </row>
    <row r="829" spans="1:3" x14ac:dyDescent="0.25">
      <c r="A829" t="s">
        <v>2652</v>
      </c>
      <c r="B829" t="s">
        <v>2653</v>
      </c>
      <c r="C829" t="str">
        <f t="shared" si="0"/>
        <v>1211 - Director financeiro</v>
      </c>
    </row>
    <row r="830" spans="1:3" x14ac:dyDescent="0.25">
      <c r="A830" t="s">
        <v>2654</v>
      </c>
      <c r="B830" t="s">
        <v>2655</v>
      </c>
      <c r="C830" t="str">
        <f t="shared" si="0"/>
        <v xml:space="preserve">1212 - Director de recursos humanos </v>
      </c>
    </row>
    <row r="831" spans="1:3" x14ac:dyDescent="0.25">
      <c r="A831" t="s">
        <v>2656</v>
      </c>
      <c r="B831" t="s">
        <v>2657</v>
      </c>
      <c r="C831" t="str">
        <f t="shared" si="0"/>
        <v xml:space="preserve">1213 - Directores de estratégia e planeamento </v>
      </c>
    </row>
    <row r="832" spans="1:3" x14ac:dyDescent="0.25">
      <c r="A832" t="s">
        <v>2658</v>
      </c>
      <c r="B832" t="s">
        <v>2659</v>
      </c>
      <c r="C832" t="str">
        <f t="shared" si="0"/>
        <v>1219 - Outros directores de serviços de negócios e de administração</v>
      </c>
    </row>
    <row r="833" spans="1:3" x14ac:dyDescent="0.25">
      <c r="A833" t="s">
        <v>2660</v>
      </c>
      <c r="B833" t="s">
        <v>2661</v>
      </c>
      <c r="C833" t="str">
        <f t="shared" si="0"/>
        <v>1221 - Directores de vendas e marketing</v>
      </c>
    </row>
    <row r="834" spans="1:3" x14ac:dyDescent="0.25">
      <c r="A834" t="s">
        <v>2662</v>
      </c>
      <c r="B834" t="s">
        <v>2663</v>
      </c>
      <c r="C834" t="str">
        <f t="shared" si="0"/>
        <v xml:space="preserve">1222 - Directores de publicidade e de relações públicas </v>
      </c>
    </row>
    <row r="835" spans="1:3" x14ac:dyDescent="0.25">
      <c r="A835" t="s">
        <v>2664</v>
      </c>
      <c r="B835" t="s">
        <v>2665</v>
      </c>
      <c r="C835" t="str">
        <f t="shared" si="0"/>
        <v>1223 - Directores de investigação e desenvolvimento</v>
      </c>
    </row>
    <row r="836" spans="1:3" x14ac:dyDescent="0.25">
      <c r="A836" t="s">
        <v>2666</v>
      </c>
      <c r="B836" t="s">
        <v>2667</v>
      </c>
      <c r="C836" t="str">
        <f t="shared" si="0"/>
        <v>1311 - Directores de produção na agricultura, produção animal e floresta</v>
      </c>
    </row>
    <row r="837" spans="1:3" x14ac:dyDescent="0.25">
      <c r="A837" t="s">
        <v>2668</v>
      </c>
      <c r="B837" t="s">
        <v>2669</v>
      </c>
      <c r="C837" t="str">
        <f t="shared" si="0"/>
        <v>1312 - Directores de produção na pesca e aquicultura</v>
      </c>
    </row>
    <row r="838" spans="1:3" x14ac:dyDescent="0.25">
      <c r="A838" t="s">
        <v>2670</v>
      </c>
      <c r="B838" t="s">
        <v>2671</v>
      </c>
      <c r="C838" t="str">
        <f t="shared" si="0"/>
        <v>1321 - Director das indústrias transformadoras</v>
      </c>
    </row>
    <row r="839" spans="1:3" x14ac:dyDescent="0.25">
      <c r="A839" t="s">
        <v>2672</v>
      </c>
      <c r="B839" t="s">
        <v>2673</v>
      </c>
      <c r="C839" t="str">
        <f t="shared" si="0"/>
        <v>1322 - Director das indústrias extractivas</v>
      </c>
    </row>
    <row r="840" spans="1:3" x14ac:dyDescent="0.25">
      <c r="A840" t="s">
        <v>2674</v>
      </c>
      <c r="B840" t="s">
        <v>2675</v>
      </c>
      <c r="C840" t="str">
        <f t="shared" si="0"/>
        <v>1323 - Director das indústrias de construção e de engenharia civil</v>
      </c>
    </row>
    <row r="841" spans="1:3" x14ac:dyDescent="0.25">
      <c r="A841" t="s">
        <v>2676</v>
      </c>
      <c r="B841" t="s">
        <v>2677</v>
      </c>
      <c r="C841" t="str">
        <f t="shared" si="0"/>
        <v>1324 - Directores de compras, transportes, armazenagem, distribuição e relacionados</v>
      </c>
    </row>
    <row r="842" spans="1:3" x14ac:dyDescent="0.25">
      <c r="A842" t="s">
        <v>2678</v>
      </c>
      <c r="B842" t="s">
        <v>2679</v>
      </c>
      <c r="C842" t="str">
        <f t="shared" si="0"/>
        <v>1330 - Directores dos serviços das tecnologias da informação e comunicação (TIC)</v>
      </c>
    </row>
    <row r="843" spans="1:3" x14ac:dyDescent="0.25">
      <c r="A843" t="s">
        <v>2680</v>
      </c>
      <c r="B843" t="s">
        <v>2681</v>
      </c>
      <c r="C843" t="str">
        <f t="shared" si="0"/>
        <v>1341 - Director dos serviços de cuidados de crianças</v>
      </c>
    </row>
    <row r="844" spans="1:3" x14ac:dyDescent="0.25">
      <c r="A844" t="s">
        <v>2682</v>
      </c>
      <c r="B844" t="s">
        <v>2683</v>
      </c>
      <c r="C844" t="str">
        <f t="shared" si="0"/>
        <v>1342 - Director dos serviços de saúde</v>
      </c>
    </row>
    <row r="845" spans="1:3" x14ac:dyDescent="0.25">
      <c r="A845" t="s">
        <v>2684</v>
      </c>
      <c r="B845" t="s">
        <v>2685</v>
      </c>
      <c r="C845" t="str">
        <f t="shared" si="0"/>
        <v>1343 - Director dos serviços de cuidados a pessoas idosas</v>
      </c>
    </row>
    <row r="846" spans="1:3" x14ac:dyDescent="0.25">
      <c r="A846" t="s">
        <v>2686</v>
      </c>
      <c r="B846" t="s">
        <v>2687</v>
      </c>
      <c r="C846" t="str">
        <f t="shared" si="0"/>
        <v xml:space="preserve">1344 - Director dos serviços de apoio social </v>
      </c>
    </row>
    <row r="847" spans="1:3" x14ac:dyDescent="0.25">
      <c r="A847" t="s">
        <v>2688</v>
      </c>
      <c r="B847" t="s">
        <v>2689</v>
      </c>
      <c r="C847" t="str">
        <f t="shared" si="0"/>
        <v>1345 - Director dos serviços de educação</v>
      </c>
    </row>
    <row r="848" spans="1:3" x14ac:dyDescent="0.25">
      <c r="A848" t="s">
        <v>2690</v>
      </c>
      <c r="B848" t="s">
        <v>2691</v>
      </c>
      <c r="C848" t="str">
        <f t="shared" si="0"/>
        <v>1346 - Director de sucursais de bancos, serviços financeiros e de seguros</v>
      </c>
    </row>
    <row r="849" spans="1:3" x14ac:dyDescent="0.25">
      <c r="A849" t="s">
        <v>2692</v>
      </c>
      <c r="B849" t="s">
        <v>2693</v>
      </c>
      <c r="C849" t="str">
        <f t="shared" si="0"/>
        <v>1349 - Directores de outros serviços especializados e profissionais com funções de comando, direcção ou chefia, das forças e serviços de segurança</v>
      </c>
    </row>
    <row r="850" spans="1:3" x14ac:dyDescent="0.25">
      <c r="A850" t="s">
        <v>2694</v>
      </c>
      <c r="B850" t="s">
        <v>2695</v>
      </c>
      <c r="C850" t="str">
        <f t="shared" si="0"/>
        <v>1411 - Director e gerente, de hotéis e similares</v>
      </c>
    </row>
    <row r="851" spans="1:3" x14ac:dyDescent="0.25">
      <c r="A851" t="s">
        <v>2696</v>
      </c>
      <c r="B851" t="s">
        <v>2697</v>
      </c>
      <c r="C851" t="str">
        <f t="shared" si="0"/>
        <v>1412 - Director e gerente de restauração (restaurantes e similares)</v>
      </c>
    </row>
    <row r="852" spans="1:3" x14ac:dyDescent="0.25">
      <c r="A852" t="s">
        <v>2698</v>
      </c>
      <c r="B852" t="s">
        <v>2699</v>
      </c>
      <c r="C852" t="str">
        <f t="shared" si="0"/>
        <v>1420 - Directores e gerentes, do comércio a retalho e por grosso</v>
      </c>
    </row>
    <row r="853" spans="1:3" x14ac:dyDescent="0.25">
      <c r="A853" t="s">
        <v>2700</v>
      </c>
      <c r="B853" t="s">
        <v>2701</v>
      </c>
      <c r="C853" t="str">
        <f t="shared" si="0"/>
        <v>1431 - Director e gerente dos centros desportivos, recreativos e culturais</v>
      </c>
    </row>
    <row r="854" spans="1:3" x14ac:dyDescent="0.25">
      <c r="A854" t="s">
        <v>2702</v>
      </c>
      <c r="B854" t="s">
        <v>2703</v>
      </c>
      <c r="C854" t="str">
        <f t="shared" si="0"/>
        <v xml:space="preserve">1439 - Director e gerente de outros serviços, n.e. </v>
      </c>
    </row>
    <row r="855" spans="1:3" x14ac:dyDescent="0.25">
      <c r="A855" t="s">
        <v>2704</v>
      </c>
      <c r="B855" t="s">
        <v>2705</v>
      </c>
      <c r="C855" t="str">
        <f t="shared" si="0"/>
        <v>2111 - Físicos e astrónomos</v>
      </c>
    </row>
    <row r="856" spans="1:3" x14ac:dyDescent="0.25">
      <c r="A856" t="s">
        <v>2706</v>
      </c>
      <c r="B856" t="s">
        <v>2707</v>
      </c>
      <c r="C856" t="str">
        <f t="shared" si="0"/>
        <v>2112 - Meteorologista</v>
      </c>
    </row>
    <row r="857" spans="1:3" x14ac:dyDescent="0.25">
      <c r="A857" t="s">
        <v>2708</v>
      </c>
      <c r="B857" t="s">
        <v>2709</v>
      </c>
      <c r="C857" t="str">
        <f t="shared" si="0"/>
        <v xml:space="preserve">2113 - Químico </v>
      </c>
    </row>
    <row r="858" spans="1:3" x14ac:dyDescent="0.25">
      <c r="A858" t="s">
        <v>2710</v>
      </c>
      <c r="B858" t="s">
        <v>2711</v>
      </c>
      <c r="C858" t="str">
        <f t="shared" si="0"/>
        <v xml:space="preserve">2114 - Geólogos, geofísicos e oceanógrafos </v>
      </c>
    </row>
    <row r="859" spans="1:3" x14ac:dyDescent="0.25">
      <c r="A859" t="s">
        <v>2712</v>
      </c>
      <c r="B859" t="s">
        <v>2713</v>
      </c>
      <c r="C859" t="str">
        <f t="shared" si="0"/>
        <v>2120 - Matemáticos, actuários, estaticistas e demógrafos</v>
      </c>
    </row>
    <row r="860" spans="1:3" x14ac:dyDescent="0.25">
      <c r="A860" t="s">
        <v>2714</v>
      </c>
      <c r="B860" t="s">
        <v>2715</v>
      </c>
      <c r="C860" t="str">
        <f t="shared" si="0"/>
        <v>2131 - Biólogos, botânicos, zoólogos e especialistas relacionados</v>
      </c>
    </row>
    <row r="861" spans="1:3" x14ac:dyDescent="0.25">
      <c r="A861" t="s">
        <v>2716</v>
      </c>
      <c r="B861" t="s">
        <v>2717</v>
      </c>
      <c r="C861" t="str">
        <f t="shared" si="0"/>
        <v xml:space="preserve">2132 - Engenheiros agrónomos, florestais e consultores das pescas </v>
      </c>
    </row>
    <row r="862" spans="1:3" x14ac:dyDescent="0.25">
      <c r="A862" t="s">
        <v>2718</v>
      </c>
      <c r="B862" t="s">
        <v>2719</v>
      </c>
      <c r="C862" t="str">
        <f t="shared" si="0"/>
        <v xml:space="preserve">2133 - Especialista da protecção do ambiente </v>
      </c>
    </row>
    <row r="863" spans="1:3" x14ac:dyDescent="0.25">
      <c r="A863" t="s">
        <v>2720</v>
      </c>
      <c r="B863" t="s">
        <v>2721</v>
      </c>
      <c r="C863" t="str">
        <f t="shared" si="0"/>
        <v>2141 - Engenheiro industrial e de produção</v>
      </c>
    </row>
    <row r="864" spans="1:3" x14ac:dyDescent="0.25">
      <c r="A864" t="s">
        <v>2722</v>
      </c>
      <c r="B864" t="s">
        <v>2723</v>
      </c>
      <c r="C864" t="str">
        <f t="shared" si="0"/>
        <v>2142 - Engenheiros civis</v>
      </c>
    </row>
    <row r="865" spans="1:3" x14ac:dyDescent="0.25">
      <c r="A865" t="s">
        <v>2724</v>
      </c>
      <c r="B865" t="s">
        <v>2725</v>
      </c>
      <c r="C865" t="str">
        <f t="shared" si="0"/>
        <v>2143 - Engenheiro do ambiente</v>
      </c>
    </row>
    <row r="866" spans="1:3" x14ac:dyDescent="0.25">
      <c r="A866" t="s">
        <v>2726</v>
      </c>
      <c r="B866" t="s">
        <v>2727</v>
      </c>
      <c r="C866" t="str">
        <f t="shared" si="0"/>
        <v>2144 - Engenheiro mecânico</v>
      </c>
    </row>
    <row r="867" spans="1:3" x14ac:dyDescent="0.25">
      <c r="A867" t="s">
        <v>2728</v>
      </c>
      <c r="B867" t="s">
        <v>2729</v>
      </c>
      <c r="C867" t="str">
        <f t="shared" si="0"/>
        <v xml:space="preserve">2145 - Engenheiro químico </v>
      </c>
    </row>
    <row r="868" spans="1:3" x14ac:dyDescent="0.25">
      <c r="A868" t="s">
        <v>2730</v>
      </c>
      <c r="B868" t="s">
        <v>2731</v>
      </c>
      <c r="C868" t="str">
        <f t="shared" si="0"/>
        <v>2146 - Engenheiros de minas, metalurgia e relacionados</v>
      </c>
    </row>
    <row r="869" spans="1:3" x14ac:dyDescent="0.25">
      <c r="A869" t="s">
        <v>2732</v>
      </c>
      <c r="B869" t="s">
        <v>2733</v>
      </c>
      <c r="C869" t="str">
        <f t="shared" si="0"/>
        <v xml:space="preserve">2149 - Outros especialistas em engenharia (excepto electrotecnologia) </v>
      </c>
    </row>
    <row r="870" spans="1:3" x14ac:dyDescent="0.25">
      <c r="A870" t="s">
        <v>2734</v>
      </c>
      <c r="B870" t="s">
        <v>2735</v>
      </c>
      <c r="C870" t="str">
        <f t="shared" si="0"/>
        <v>2151 - Engenheiro electrotécnico</v>
      </c>
    </row>
    <row r="871" spans="1:3" x14ac:dyDescent="0.25">
      <c r="A871" t="s">
        <v>2736</v>
      </c>
      <c r="B871" t="s">
        <v>2737</v>
      </c>
      <c r="C871" t="str">
        <f t="shared" si="0"/>
        <v>2152 - Engenheiro electrónico</v>
      </c>
    </row>
    <row r="872" spans="1:3" x14ac:dyDescent="0.25">
      <c r="A872" t="s">
        <v>2738</v>
      </c>
      <c r="B872" t="s">
        <v>2739</v>
      </c>
      <c r="C872" t="str">
        <f t="shared" si="0"/>
        <v>2153 - Engenheiro de telecomunicações</v>
      </c>
    </row>
    <row r="873" spans="1:3" x14ac:dyDescent="0.25">
      <c r="A873" t="s">
        <v>2740</v>
      </c>
      <c r="B873" t="s">
        <v>2741</v>
      </c>
      <c r="C873" t="str">
        <f t="shared" si="0"/>
        <v>2161 - Arquitecto de edifícios</v>
      </c>
    </row>
    <row r="874" spans="1:3" x14ac:dyDescent="0.25">
      <c r="A874" t="s">
        <v>2742</v>
      </c>
      <c r="B874" t="s">
        <v>2743</v>
      </c>
      <c r="C874" t="str">
        <f t="shared" si="0"/>
        <v xml:space="preserve">2162 - Arquitecto paisagista </v>
      </c>
    </row>
    <row r="875" spans="1:3" x14ac:dyDescent="0.25">
      <c r="A875" t="s">
        <v>2744</v>
      </c>
      <c r="B875" t="s">
        <v>2745</v>
      </c>
      <c r="C875" t="str">
        <f t="shared" si="0"/>
        <v xml:space="preserve">2163 - Designers de produto, têxteis, moda e de interiores </v>
      </c>
    </row>
    <row r="876" spans="1:3" x14ac:dyDescent="0.25">
      <c r="A876" t="s">
        <v>2746</v>
      </c>
      <c r="B876" t="s">
        <v>2747</v>
      </c>
      <c r="C876" t="str">
        <f t="shared" si="0"/>
        <v>2164 - Urbanista de cidade e tráfego</v>
      </c>
    </row>
    <row r="877" spans="1:3" x14ac:dyDescent="0.25">
      <c r="A877" t="s">
        <v>2748</v>
      </c>
      <c r="B877" t="s">
        <v>2749</v>
      </c>
      <c r="C877" t="str">
        <f t="shared" si="0"/>
        <v>2165 - Cartógrafo, agrimensor, topógrafo e similares</v>
      </c>
    </row>
    <row r="878" spans="1:3" x14ac:dyDescent="0.25">
      <c r="A878" t="s">
        <v>2750</v>
      </c>
      <c r="B878" t="s">
        <v>2751</v>
      </c>
      <c r="C878" t="str">
        <f t="shared" si="0"/>
        <v>2166 - Designer, gráfico ou de comunicação e multimédia</v>
      </c>
    </row>
    <row r="879" spans="1:3" x14ac:dyDescent="0.25">
      <c r="A879" t="s">
        <v>2752</v>
      </c>
      <c r="B879" t="s">
        <v>2753</v>
      </c>
      <c r="C879" t="str">
        <f t="shared" si="0"/>
        <v>2211 - Médicos generalistas</v>
      </c>
    </row>
    <row r="880" spans="1:3" x14ac:dyDescent="0.25">
      <c r="A880" t="s">
        <v>2754</v>
      </c>
      <c r="B880" t="s">
        <v>2755</v>
      </c>
      <c r="C880" t="str">
        <f t="shared" ref="C880:C943" si="1">CONCATENATE(A880, " - ",B880)</f>
        <v>2212 - Médicos especializados</v>
      </c>
    </row>
    <row r="881" spans="1:3" x14ac:dyDescent="0.25">
      <c r="A881" t="s">
        <v>2756</v>
      </c>
      <c r="B881" t="s">
        <v>2757</v>
      </c>
      <c r="C881" t="str">
        <f t="shared" si="1"/>
        <v>2221 - Enfermeiros e enfermeiros especialistas (excepto em saúde materna e obstétrica)</v>
      </c>
    </row>
    <row r="882" spans="1:3" x14ac:dyDescent="0.25">
      <c r="A882" t="s">
        <v>2758</v>
      </c>
      <c r="B882" t="s">
        <v>2759</v>
      </c>
      <c r="C882" t="str">
        <f t="shared" si="1"/>
        <v>2222 - Enfermeiro especialista em saúde materna e obstétrica</v>
      </c>
    </row>
    <row r="883" spans="1:3" x14ac:dyDescent="0.25">
      <c r="A883" t="s">
        <v>2760</v>
      </c>
      <c r="B883" t="s">
        <v>2761</v>
      </c>
      <c r="C883" t="str">
        <f t="shared" si="1"/>
        <v>2230 - Especialista em medicina tradicional e alternativa</v>
      </c>
    </row>
    <row r="884" spans="1:3" x14ac:dyDescent="0.25">
      <c r="A884" t="s">
        <v>2762</v>
      </c>
      <c r="B884" t="s">
        <v>2763</v>
      </c>
      <c r="C884" t="str">
        <f t="shared" si="1"/>
        <v>2240 - Profissional paramédico</v>
      </c>
    </row>
    <row r="885" spans="1:3" x14ac:dyDescent="0.25">
      <c r="A885" t="s">
        <v>2764</v>
      </c>
      <c r="B885" t="s">
        <v>2765</v>
      </c>
      <c r="C885" t="str">
        <f t="shared" si="1"/>
        <v xml:space="preserve">2250 - Veterinário </v>
      </c>
    </row>
    <row r="886" spans="1:3" x14ac:dyDescent="0.25">
      <c r="A886" t="s">
        <v>2766</v>
      </c>
      <c r="B886" t="s">
        <v>2767</v>
      </c>
      <c r="C886" t="str">
        <f t="shared" si="1"/>
        <v>2261 - Médicos dentistas e estomatologistas</v>
      </c>
    </row>
    <row r="887" spans="1:3" x14ac:dyDescent="0.25">
      <c r="A887" t="s">
        <v>2768</v>
      </c>
      <c r="B887" t="s">
        <v>2769</v>
      </c>
      <c r="C887" t="str">
        <f t="shared" si="1"/>
        <v xml:space="preserve">2262 - Farmacêutico </v>
      </c>
    </row>
    <row r="888" spans="1:3" x14ac:dyDescent="0.25">
      <c r="A888" t="s">
        <v>2770</v>
      </c>
      <c r="B888" t="s">
        <v>2771</v>
      </c>
      <c r="C888" t="str">
        <f t="shared" si="1"/>
        <v>2263 - Especialista em higiene e saúde, ambiental e laboral</v>
      </c>
    </row>
    <row r="889" spans="1:3" x14ac:dyDescent="0.25">
      <c r="A889" t="s">
        <v>2772</v>
      </c>
      <c r="B889" t="s">
        <v>2773</v>
      </c>
      <c r="C889" t="str">
        <f t="shared" si="1"/>
        <v xml:space="preserve">2264 - Fisioterapeuta </v>
      </c>
    </row>
    <row r="890" spans="1:3" x14ac:dyDescent="0.25">
      <c r="A890" t="s">
        <v>2774</v>
      </c>
      <c r="B890" t="s">
        <v>2775</v>
      </c>
      <c r="C890" t="str">
        <f t="shared" si="1"/>
        <v xml:space="preserve">2265 - Dietista e nutricionista </v>
      </c>
    </row>
    <row r="891" spans="1:3" x14ac:dyDescent="0.25">
      <c r="A891" t="s">
        <v>2776</v>
      </c>
      <c r="B891" t="s">
        <v>2777</v>
      </c>
      <c r="C891" t="str">
        <f t="shared" si="1"/>
        <v>2266 - Audiologistas e terapeutas da fala</v>
      </c>
    </row>
    <row r="892" spans="1:3" x14ac:dyDescent="0.25">
      <c r="A892" t="s">
        <v>2778</v>
      </c>
      <c r="B892" t="s">
        <v>2779</v>
      </c>
      <c r="C892" t="str">
        <f t="shared" si="1"/>
        <v>2267 - Optometrista e óptico oftálmico</v>
      </c>
    </row>
    <row r="893" spans="1:3" x14ac:dyDescent="0.25">
      <c r="A893" t="s">
        <v>2780</v>
      </c>
      <c r="B893" t="s">
        <v>2781</v>
      </c>
      <c r="C893" t="str">
        <f t="shared" si="1"/>
        <v xml:space="preserve">2269 - Outros profissionais da saúde, n.e. </v>
      </c>
    </row>
    <row r="894" spans="1:3" x14ac:dyDescent="0.25">
      <c r="A894" t="s">
        <v>2782</v>
      </c>
      <c r="B894" t="s">
        <v>2783</v>
      </c>
      <c r="C894" t="str">
        <f t="shared" si="1"/>
        <v>2310 - Professor dos ensinos universitário e superior</v>
      </c>
    </row>
    <row r="895" spans="1:3" x14ac:dyDescent="0.25">
      <c r="A895" t="s">
        <v>2784</v>
      </c>
      <c r="B895" t="s">
        <v>2785</v>
      </c>
      <c r="C895" t="str">
        <f t="shared" si="1"/>
        <v>2320 - Professor dos ensinos, tecnológico, artístico e profissional</v>
      </c>
    </row>
    <row r="896" spans="1:3" x14ac:dyDescent="0.25">
      <c r="A896" t="s">
        <v>2786</v>
      </c>
      <c r="B896" t="s">
        <v>2787</v>
      </c>
      <c r="C896" t="str">
        <f t="shared" si="1"/>
        <v>2330 - Professor dos ensinos básico (2º e 3º ciclos) e secundário</v>
      </c>
    </row>
    <row r="897" spans="1:3" x14ac:dyDescent="0.25">
      <c r="A897" t="s">
        <v>2788</v>
      </c>
      <c r="B897" t="s">
        <v>2789</v>
      </c>
      <c r="C897" t="str">
        <f t="shared" si="1"/>
        <v xml:space="preserve">2341 - Professor do ensino básico (1º ciclo) </v>
      </c>
    </row>
    <row r="898" spans="1:3" x14ac:dyDescent="0.25">
      <c r="A898" t="s">
        <v>2790</v>
      </c>
      <c r="B898" t="s">
        <v>2791</v>
      </c>
      <c r="C898" t="str">
        <f t="shared" si="1"/>
        <v xml:space="preserve">2342 - Educador de infância </v>
      </c>
    </row>
    <row r="899" spans="1:3" x14ac:dyDescent="0.25">
      <c r="A899" t="s">
        <v>2792</v>
      </c>
      <c r="B899" t="s">
        <v>2793</v>
      </c>
      <c r="C899" t="str">
        <f t="shared" si="1"/>
        <v xml:space="preserve">2351 - Especialista em métodos de ensino </v>
      </c>
    </row>
    <row r="900" spans="1:3" x14ac:dyDescent="0.25">
      <c r="A900" t="s">
        <v>2794</v>
      </c>
      <c r="B900" t="s">
        <v>2795</v>
      </c>
      <c r="C900" t="str">
        <f t="shared" si="1"/>
        <v>2352 - Professor do ensino especial</v>
      </c>
    </row>
    <row r="901" spans="1:3" x14ac:dyDescent="0.25">
      <c r="A901" t="s">
        <v>2796</v>
      </c>
      <c r="B901" t="s">
        <v>2797</v>
      </c>
      <c r="C901" t="str">
        <f t="shared" si="1"/>
        <v xml:space="preserve">2353 - Outros professores de línguas </v>
      </c>
    </row>
    <row r="902" spans="1:3" x14ac:dyDescent="0.25">
      <c r="A902" t="s">
        <v>2798</v>
      </c>
      <c r="B902" t="s">
        <v>2799</v>
      </c>
      <c r="C902" t="str">
        <f t="shared" si="1"/>
        <v>2354 - Outros professores de música</v>
      </c>
    </row>
    <row r="903" spans="1:3" x14ac:dyDescent="0.25">
      <c r="A903" t="s">
        <v>2800</v>
      </c>
      <c r="B903" t="s">
        <v>2801</v>
      </c>
      <c r="C903" t="str">
        <f t="shared" si="1"/>
        <v xml:space="preserve">2355 - Outros professores de arte </v>
      </c>
    </row>
    <row r="904" spans="1:3" x14ac:dyDescent="0.25">
      <c r="A904" t="s">
        <v>2802</v>
      </c>
      <c r="B904" t="s">
        <v>2803</v>
      </c>
      <c r="C904" t="str">
        <f t="shared" si="1"/>
        <v>2356 - Formador em tecnologias de informação</v>
      </c>
    </row>
    <row r="905" spans="1:3" x14ac:dyDescent="0.25">
      <c r="A905" t="s">
        <v>2804</v>
      </c>
      <c r="B905" t="s">
        <v>2805</v>
      </c>
      <c r="C905" t="str">
        <f t="shared" si="1"/>
        <v xml:space="preserve">2359 - Outros especialistas do ensino, n.e. </v>
      </c>
    </row>
    <row r="906" spans="1:3" x14ac:dyDescent="0.25">
      <c r="A906" t="s">
        <v>2806</v>
      </c>
      <c r="B906" t="s">
        <v>2807</v>
      </c>
      <c r="C906" t="str">
        <f t="shared" si="1"/>
        <v xml:space="preserve">2411 - Contabilista, auditor, revisor oficial de contas e similares </v>
      </c>
    </row>
    <row r="907" spans="1:3" x14ac:dyDescent="0.25">
      <c r="A907" t="s">
        <v>2808</v>
      </c>
      <c r="B907" t="s">
        <v>2809</v>
      </c>
      <c r="C907" t="str">
        <f t="shared" si="1"/>
        <v>2412 - Consultor financeiro e de investimentos</v>
      </c>
    </row>
    <row r="908" spans="1:3" x14ac:dyDescent="0.25">
      <c r="A908" t="s">
        <v>2810</v>
      </c>
      <c r="B908" t="s">
        <v>2811</v>
      </c>
      <c r="C908" t="str">
        <f t="shared" si="1"/>
        <v xml:space="preserve">2413 - Analista financeiro </v>
      </c>
    </row>
    <row r="909" spans="1:3" x14ac:dyDescent="0.25">
      <c r="A909" t="s">
        <v>2812</v>
      </c>
      <c r="B909" t="s">
        <v>2813</v>
      </c>
      <c r="C909" t="str">
        <f t="shared" si="1"/>
        <v xml:space="preserve">2421 - Analista em gestão e organização </v>
      </c>
    </row>
    <row r="910" spans="1:3" x14ac:dyDescent="0.25">
      <c r="A910" t="s">
        <v>2814</v>
      </c>
      <c r="B910" t="s">
        <v>2815</v>
      </c>
      <c r="C910" t="str">
        <f t="shared" si="1"/>
        <v>2422 - Especialista em políticas da administração</v>
      </c>
    </row>
    <row r="911" spans="1:3" x14ac:dyDescent="0.25">
      <c r="A911" t="s">
        <v>2816</v>
      </c>
      <c r="B911" t="s">
        <v>2817</v>
      </c>
      <c r="C911" t="str">
        <f t="shared" si="1"/>
        <v>2423 - Especialista em recursos humanos</v>
      </c>
    </row>
    <row r="912" spans="1:3" x14ac:dyDescent="0.25">
      <c r="A912" t="s">
        <v>2818</v>
      </c>
      <c r="B912" t="s">
        <v>2819</v>
      </c>
      <c r="C912" t="str">
        <f t="shared" si="1"/>
        <v>2424 - Especialista em formação e desenvolvimento de recursos humanos</v>
      </c>
    </row>
    <row r="913" spans="1:3" x14ac:dyDescent="0.25">
      <c r="A913" t="s">
        <v>2820</v>
      </c>
      <c r="B913" t="s">
        <v>2821</v>
      </c>
      <c r="C913" t="str">
        <f t="shared" si="1"/>
        <v xml:space="preserve">2431 - Especialista em publicidade e marketing </v>
      </c>
    </row>
    <row r="914" spans="1:3" x14ac:dyDescent="0.25">
      <c r="A914" t="s">
        <v>2822</v>
      </c>
      <c r="B914" t="s">
        <v>2823</v>
      </c>
      <c r="C914" t="str">
        <f t="shared" si="1"/>
        <v>2432 - Especialista em relações públicas</v>
      </c>
    </row>
    <row r="915" spans="1:3" x14ac:dyDescent="0.25">
      <c r="A915" t="s">
        <v>2824</v>
      </c>
      <c r="B915" t="s">
        <v>2825</v>
      </c>
      <c r="C915" t="str">
        <f t="shared" si="1"/>
        <v>2433 - Especialistas em vendas de material técnico e médico (excepto TIC)</v>
      </c>
    </row>
    <row r="916" spans="1:3" x14ac:dyDescent="0.25">
      <c r="A916" t="s">
        <v>2826</v>
      </c>
      <c r="B916" t="s">
        <v>2827</v>
      </c>
      <c r="C916" t="str">
        <f t="shared" si="1"/>
        <v>2434 - Especialista em vendas de tecnologias de informação e comunicação (TIC)</v>
      </c>
    </row>
    <row r="917" spans="1:3" x14ac:dyDescent="0.25">
      <c r="A917" t="s">
        <v>2828</v>
      </c>
      <c r="B917" t="s">
        <v>2829</v>
      </c>
      <c r="C917" t="str">
        <f t="shared" si="1"/>
        <v>2511 - Analista de sistemas</v>
      </c>
    </row>
    <row r="918" spans="1:3" x14ac:dyDescent="0.25">
      <c r="A918" t="s">
        <v>2830</v>
      </c>
      <c r="B918" t="s">
        <v>2831</v>
      </c>
      <c r="C918" t="str">
        <f t="shared" si="1"/>
        <v>2512 - Programador de software</v>
      </c>
    </row>
    <row r="919" spans="1:3" x14ac:dyDescent="0.25">
      <c r="A919" t="s">
        <v>2832</v>
      </c>
      <c r="B919" t="s">
        <v>2833</v>
      </c>
      <c r="C919" t="str">
        <f t="shared" si="1"/>
        <v xml:space="preserve">2513 - Programador Web e de multimédia </v>
      </c>
    </row>
    <row r="920" spans="1:3" x14ac:dyDescent="0.25">
      <c r="A920" t="s">
        <v>2834</v>
      </c>
      <c r="B920" t="s">
        <v>2835</v>
      </c>
      <c r="C920" t="str">
        <f t="shared" si="1"/>
        <v>2514 - Programador de aplicações</v>
      </c>
    </row>
    <row r="921" spans="1:3" x14ac:dyDescent="0.25">
      <c r="A921" t="s">
        <v>2836</v>
      </c>
      <c r="B921" t="s">
        <v>2837</v>
      </c>
      <c r="C921" t="str">
        <f t="shared" si="1"/>
        <v>2519 - Outros analistas e programadores, de software e aplicações</v>
      </c>
    </row>
    <row r="922" spans="1:3" x14ac:dyDescent="0.25">
      <c r="A922" t="s">
        <v>2838</v>
      </c>
      <c r="B922" t="s">
        <v>2839</v>
      </c>
      <c r="C922" t="str">
        <f t="shared" si="1"/>
        <v xml:space="preserve">2521 - Administrador e especialista de concepção de base de dados </v>
      </c>
    </row>
    <row r="923" spans="1:3" x14ac:dyDescent="0.25">
      <c r="A923" t="s">
        <v>2840</v>
      </c>
      <c r="B923" t="s">
        <v>2841</v>
      </c>
      <c r="C923" t="str">
        <f t="shared" si="1"/>
        <v xml:space="preserve">2522 - Administrador de sistemas </v>
      </c>
    </row>
    <row r="924" spans="1:3" x14ac:dyDescent="0.25">
      <c r="A924" t="s">
        <v>2842</v>
      </c>
      <c r="B924" t="s">
        <v>2843</v>
      </c>
      <c r="C924" t="str">
        <f t="shared" si="1"/>
        <v>2523 - Especialista de redes informáticas</v>
      </c>
    </row>
    <row r="925" spans="1:3" x14ac:dyDescent="0.25">
      <c r="A925" t="s">
        <v>2844</v>
      </c>
      <c r="B925" t="s">
        <v>2845</v>
      </c>
      <c r="C925" t="str">
        <f t="shared" si="1"/>
        <v>2529 - Outros especialistas em base de dados e redes</v>
      </c>
    </row>
    <row r="926" spans="1:3" x14ac:dyDescent="0.25">
      <c r="A926" t="s">
        <v>2846</v>
      </c>
      <c r="B926" t="s">
        <v>2847</v>
      </c>
      <c r="C926" t="str">
        <f t="shared" si="1"/>
        <v xml:space="preserve">2611 - Advogados e solicitadores  </v>
      </c>
    </row>
    <row r="927" spans="1:3" x14ac:dyDescent="0.25">
      <c r="A927" t="s">
        <v>2848</v>
      </c>
      <c r="B927" t="s">
        <v>2849</v>
      </c>
      <c r="C927" t="str">
        <f t="shared" si="1"/>
        <v>2612 - Magistrado (Judicial e do Ministério Público)</v>
      </c>
    </row>
    <row r="928" spans="1:3" x14ac:dyDescent="0.25">
      <c r="A928" t="s">
        <v>2850</v>
      </c>
      <c r="B928" t="s">
        <v>2851</v>
      </c>
      <c r="C928" t="str">
        <f t="shared" si="1"/>
        <v>2619 - Outros especialistas em assuntos jurídicos</v>
      </c>
    </row>
    <row r="929" spans="1:3" x14ac:dyDescent="0.25">
      <c r="A929" t="s">
        <v>2852</v>
      </c>
      <c r="B929" t="s">
        <v>2853</v>
      </c>
      <c r="C929" t="str">
        <f t="shared" si="1"/>
        <v>2621 - Arquivistas e curadores de museus</v>
      </c>
    </row>
    <row r="930" spans="1:3" x14ac:dyDescent="0.25">
      <c r="A930" t="s">
        <v>2854</v>
      </c>
      <c r="B930" t="s">
        <v>2855</v>
      </c>
      <c r="C930" t="str">
        <f t="shared" si="1"/>
        <v>2622 - Bibliotecários e outros especialistas de informação relacionados</v>
      </c>
    </row>
    <row r="931" spans="1:3" x14ac:dyDescent="0.25">
      <c r="A931" t="s">
        <v>2856</v>
      </c>
      <c r="B931" t="s">
        <v>2857</v>
      </c>
      <c r="C931" t="str">
        <f t="shared" si="1"/>
        <v xml:space="preserve">2631 - Economista </v>
      </c>
    </row>
    <row r="932" spans="1:3" x14ac:dyDescent="0.25">
      <c r="A932" t="s">
        <v>2858</v>
      </c>
      <c r="B932" t="s">
        <v>2859</v>
      </c>
      <c r="C932" t="str">
        <f t="shared" si="1"/>
        <v>2632 - Sociólogos, antropólogos e especialistas relacionados</v>
      </c>
    </row>
    <row r="933" spans="1:3" x14ac:dyDescent="0.25">
      <c r="A933" t="s">
        <v>2860</v>
      </c>
      <c r="B933" t="s">
        <v>2861</v>
      </c>
      <c r="C933" t="str">
        <f t="shared" si="1"/>
        <v xml:space="preserve">2633 - Filósofos, historiadores e especialistas de ciências políticas </v>
      </c>
    </row>
    <row r="934" spans="1:3" x14ac:dyDescent="0.25">
      <c r="A934" t="s">
        <v>2862</v>
      </c>
      <c r="B934" t="s">
        <v>2863</v>
      </c>
      <c r="C934" t="str">
        <f t="shared" si="1"/>
        <v xml:space="preserve">2634 - Psicólogo </v>
      </c>
    </row>
    <row r="935" spans="1:3" x14ac:dyDescent="0.25">
      <c r="A935" t="s">
        <v>2864</v>
      </c>
      <c r="B935" t="s">
        <v>2865</v>
      </c>
      <c r="C935" t="str">
        <f t="shared" si="1"/>
        <v xml:space="preserve">2635 - Especialista do trabalho social </v>
      </c>
    </row>
    <row r="936" spans="1:3" x14ac:dyDescent="0.25">
      <c r="A936" t="s">
        <v>2866</v>
      </c>
      <c r="B936" t="s">
        <v>2867</v>
      </c>
      <c r="C936" t="str">
        <f t="shared" si="1"/>
        <v xml:space="preserve">2636 - Ministro de culto </v>
      </c>
    </row>
    <row r="937" spans="1:3" x14ac:dyDescent="0.25">
      <c r="A937" t="s">
        <v>2868</v>
      </c>
      <c r="B937" t="s">
        <v>2869</v>
      </c>
      <c r="C937" t="str">
        <f t="shared" si="1"/>
        <v xml:space="preserve">2641 - Autor e escritor </v>
      </c>
    </row>
    <row r="938" spans="1:3" x14ac:dyDescent="0.25">
      <c r="A938" t="s">
        <v>2870</v>
      </c>
      <c r="B938" t="s">
        <v>2871</v>
      </c>
      <c r="C938" t="str">
        <f t="shared" si="1"/>
        <v xml:space="preserve">2642 - Jornalista </v>
      </c>
    </row>
    <row r="939" spans="1:3" x14ac:dyDescent="0.25">
      <c r="A939" t="s">
        <v>2872</v>
      </c>
      <c r="B939" t="s">
        <v>2873</v>
      </c>
      <c r="C939" t="str">
        <f t="shared" si="1"/>
        <v xml:space="preserve">2643 - Filólogos, tradutores, intérpretes e outros linguistas </v>
      </c>
    </row>
    <row r="940" spans="1:3" x14ac:dyDescent="0.25">
      <c r="A940" t="s">
        <v>2874</v>
      </c>
      <c r="B940" t="s">
        <v>2875</v>
      </c>
      <c r="C940" t="str">
        <f t="shared" si="1"/>
        <v>2651 - Artistas de artes visuais (plásticas)</v>
      </c>
    </row>
    <row r="941" spans="1:3" x14ac:dyDescent="0.25">
      <c r="A941" t="s">
        <v>2876</v>
      </c>
      <c r="B941" t="s">
        <v>2877</v>
      </c>
      <c r="C941" t="str">
        <f t="shared" si="1"/>
        <v xml:space="preserve">2652 - Compositores, músicos e cantores </v>
      </c>
    </row>
    <row r="942" spans="1:3" x14ac:dyDescent="0.25">
      <c r="A942" t="s">
        <v>2878</v>
      </c>
      <c r="B942" t="s">
        <v>2879</v>
      </c>
      <c r="C942" t="str">
        <f t="shared" si="1"/>
        <v xml:space="preserve">2653 - Bailarinos e coreógrafos </v>
      </c>
    </row>
    <row r="943" spans="1:3" x14ac:dyDescent="0.25">
      <c r="A943" t="s">
        <v>2880</v>
      </c>
      <c r="B943" t="s">
        <v>2881</v>
      </c>
      <c r="C943" t="str">
        <f t="shared" si="1"/>
        <v>2654 - Realizadores, encenadores, produtores e directores relacionados, de cinema, teatro, televisão e rádio</v>
      </c>
    </row>
    <row r="944" spans="1:3" x14ac:dyDescent="0.25">
      <c r="A944" t="s">
        <v>2882</v>
      </c>
      <c r="B944" t="s">
        <v>2883</v>
      </c>
      <c r="C944" t="str">
        <f t="shared" ref="C944:C1007" si="2">CONCATENATE(A944, " - ",B944)</f>
        <v>2655 - Actor</v>
      </c>
    </row>
    <row r="945" spans="1:3" x14ac:dyDescent="0.25">
      <c r="A945" t="s">
        <v>2884</v>
      </c>
      <c r="B945" t="s">
        <v>2885</v>
      </c>
      <c r="C945" t="str">
        <f t="shared" si="2"/>
        <v>2656 - Locutor e apresentador, de rádio, de televisão e de outros meios de comunicação</v>
      </c>
    </row>
    <row r="946" spans="1:3" x14ac:dyDescent="0.25">
      <c r="A946" t="s">
        <v>2886</v>
      </c>
      <c r="B946" t="s">
        <v>2887</v>
      </c>
      <c r="C946" t="str">
        <f t="shared" si="2"/>
        <v>2659 - Outros artistas e intérpretes criativos das artes do espectáculo</v>
      </c>
    </row>
    <row r="947" spans="1:3" x14ac:dyDescent="0.25">
      <c r="A947" t="s">
        <v>2888</v>
      </c>
      <c r="B947" t="s">
        <v>2889</v>
      </c>
      <c r="C947" t="str">
        <f t="shared" si="2"/>
        <v>3111 - Técnicos das ciências físicas e químicas</v>
      </c>
    </row>
    <row r="948" spans="1:3" x14ac:dyDescent="0.25">
      <c r="A948" t="s">
        <v>2890</v>
      </c>
      <c r="B948" t="s">
        <v>2891</v>
      </c>
      <c r="C948" t="str">
        <f t="shared" si="2"/>
        <v xml:space="preserve">3112 - Técnico de engenharia civil </v>
      </c>
    </row>
    <row r="949" spans="1:3" x14ac:dyDescent="0.25">
      <c r="A949" t="s">
        <v>2892</v>
      </c>
      <c r="B949" t="s">
        <v>2893</v>
      </c>
      <c r="C949" t="str">
        <f t="shared" si="2"/>
        <v>3113 - Técnico de electricidade</v>
      </c>
    </row>
    <row r="950" spans="1:3" x14ac:dyDescent="0.25">
      <c r="A950" t="s">
        <v>2894</v>
      </c>
      <c r="B950" t="s">
        <v>2895</v>
      </c>
      <c r="C950" t="str">
        <f t="shared" si="2"/>
        <v xml:space="preserve">3114 - Técnico de electrónica </v>
      </c>
    </row>
    <row r="951" spans="1:3" x14ac:dyDescent="0.25">
      <c r="A951" t="s">
        <v>2896</v>
      </c>
      <c r="B951" t="s">
        <v>2897</v>
      </c>
      <c r="C951" t="str">
        <f t="shared" si="2"/>
        <v xml:space="preserve">3115 - Técnicos e inspectores de mecânica </v>
      </c>
    </row>
    <row r="952" spans="1:3" x14ac:dyDescent="0.25">
      <c r="A952" t="s">
        <v>2898</v>
      </c>
      <c r="B952" t="s">
        <v>2899</v>
      </c>
      <c r="C952" t="str">
        <f t="shared" si="2"/>
        <v>3116 - Técnico de química industrial</v>
      </c>
    </row>
    <row r="953" spans="1:3" x14ac:dyDescent="0.25">
      <c r="A953" t="s">
        <v>2900</v>
      </c>
      <c r="B953" t="s">
        <v>2901</v>
      </c>
      <c r="C953" t="str">
        <f t="shared" si="2"/>
        <v xml:space="preserve">3117 - Técnico da metalurgia de base e da indústria extractiva </v>
      </c>
    </row>
    <row r="954" spans="1:3" x14ac:dyDescent="0.25">
      <c r="A954" t="s">
        <v>2902</v>
      </c>
      <c r="B954" t="s">
        <v>2903</v>
      </c>
      <c r="C954" t="str">
        <f t="shared" si="2"/>
        <v>3118 - Desenhadores e técnicos afins</v>
      </c>
    </row>
    <row r="955" spans="1:3" x14ac:dyDescent="0.25">
      <c r="A955" t="s">
        <v>2904</v>
      </c>
      <c r="B955" t="s">
        <v>2905</v>
      </c>
      <c r="C955" t="str">
        <f t="shared" si="2"/>
        <v xml:space="preserve">3119 - Outros técnicos das ciências físicas e de engenharia </v>
      </c>
    </row>
    <row r="956" spans="1:3" x14ac:dyDescent="0.25">
      <c r="A956" t="s">
        <v>2906</v>
      </c>
      <c r="B956" t="s">
        <v>2907</v>
      </c>
      <c r="C956" t="str">
        <f t="shared" si="2"/>
        <v>3121 - Encarregado da indústria extractiva</v>
      </c>
    </row>
    <row r="957" spans="1:3" x14ac:dyDescent="0.25">
      <c r="A957" t="s">
        <v>2908</v>
      </c>
      <c r="B957" t="s">
        <v>2909</v>
      </c>
      <c r="C957" t="str">
        <f t="shared" si="2"/>
        <v>3122 - Encarregado da indústria transformadora</v>
      </c>
    </row>
    <row r="958" spans="1:3" x14ac:dyDescent="0.25">
      <c r="A958" t="s">
        <v>2910</v>
      </c>
      <c r="B958" t="s">
        <v>2911</v>
      </c>
      <c r="C958" t="str">
        <f t="shared" si="2"/>
        <v xml:space="preserve">3123 - Encarregado da construção </v>
      </c>
    </row>
    <row r="959" spans="1:3" x14ac:dyDescent="0.25">
      <c r="A959" t="s">
        <v>2912</v>
      </c>
      <c r="B959" t="s">
        <v>2913</v>
      </c>
      <c r="C959" t="str">
        <f t="shared" si="2"/>
        <v xml:space="preserve">3131 - Técnico de operação de instalações de produção de energia </v>
      </c>
    </row>
    <row r="960" spans="1:3" x14ac:dyDescent="0.25">
      <c r="A960" t="s">
        <v>2914</v>
      </c>
      <c r="B960" t="s">
        <v>2915</v>
      </c>
      <c r="C960" t="str">
        <f t="shared" si="2"/>
        <v xml:space="preserve">3132 - Técnicos de operação de incineradores e de instalações de tratamento de água </v>
      </c>
    </row>
    <row r="961" spans="1:3" x14ac:dyDescent="0.25">
      <c r="A961" t="s">
        <v>2916</v>
      </c>
      <c r="B961" t="s">
        <v>2917</v>
      </c>
      <c r="C961" t="str">
        <f t="shared" si="2"/>
        <v>3133 - Técnico de controlo de instalações da indústria química</v>
      </c>
    </row>
    <row r="962" spans="1:3" x14ac:dyDescent="0.25">
      <c r="A962" t="s">
        <v>2918</v>
      </c>
      <c r="B962" t="s">
        <v>2919</v>
      </c>
      <c r="C962" t="str">
        <f t="shared" si="2"/>
        <v xml:space="preserve">3134 - Técnico de operação de instalações de refinação de petróleo e gás natural </v>
      </c>
    </row>
    <row r="963" spans="1:3" x14ac:dyDescent="0.25">
      <c r="A963" t="s">
        <v>2920</v>
      </c>
      <c r="B963" t="s">
        <v>2921</v>
      </c>
      <c r="C963" t="str">
        <f t="shared" si="2"/>
        <v xml:space="preserve">3135 - Técnico de controlo de instalações de produção de metais </v>
      </c>
    </row>
    <row r="964" spans="1:3" x14ac:dyDescent="0.25">
      <c r="A964" t="s">
        <v>2922</v>
      </c>
      <c r="B964" t="s">
        <v>2923</v>
      </c>
      <c r="C964" t="str">
        <f t="shared" si="2"/>
        <v>3139 - Outros técnicos de controlo de processos industriais</v>
      </c>
    </row>
    <row r="965" spans="1:3" x14ac:dyDescent="0.25">
      <c r="A965" t="s">
        <v>2924</v>
      </c>
      <c r="B965" t="s">
        <v>2925</v>
      </c>
      <c r="C965" t="str">
        <f t="shared" si="2"/>
        <v>3141 - Técnico das ciências da vida (excepto ciências médicas)</v>
      </c>
    </row>
    <row r="966" spans="1:3" x14ac:dyDescent="0.25">
      <c r="A966" t="s">
        <v>2926</v>
      </c>
      <c r="B966" t="s">
        <v>2927</v>
      </c>
      <c r="C966" t="str">
        <f t="shared" si="2"/>
        <v>3142 - Técnicos da agricultura e da produção animal</v>
      </c>
    </row>
    <row r="967" spans="1:3" x14ac:dyDescent="0.25">
      <c r="A967" t="s">
        <v>2928</v>
      </c>
      <c r="B967" t="s">
        <v>2929</v>
      </c>
      <c r="C967" t="str">
        <f t="shared" si="2"/>
        <v>3143 - Técnico florestal (inclui cinegético)</v>
      </c>
    </row>
    <row r="968" spans="1:3" x14ac:dyDescent="0.25">
      <c r="A968" t="s">
        <v>2930</v>
      </c>
      <c r="B968" t="s">
        <v>2931</v>
      </c>
      <c r="C968" t="str">
        <f t="shared" si="2"/>
        <v>3151 - Oficial maquinista de navios</v>
      </c>
    </row>
    <row r="969" spans="1:3" x14ac:dyDescent="0.25">
      <c r="A969" t="s">
        <v>2932</v>
      </c>
      <c r="B969" t="s">
        <v>2933</v>
      </c>
      <c r="C969" t="str">
        <f t="shared" si="2"/>
        <v>3152 - Oficial de convés e piloto de navios</v>
      </c>
    </row>
    <row r="970" spans="1:3" x14ac:dyDescent="0.25">
      <c r="A970" t="s">
        <v>2934</v>
      </c>
      <c r="B970" t="s">
        <v>2935</v>
      </c>
      <c r="C970" t="str">
        <f t="shared" si="2"/>
        <v>3153 - Piloto de aeronaves</v>
      </c>
    </row>
    <row r="971" spans="1:3" x14ac:dyDescent="0.25">
      <c r="A971" t="s">
        <v>2936</v>
      </c>
      <c r="B971" t="s">
        <v>2937</v>
      </c>
      <c r="C971" t="str">
        <f t="shared" si="2"/>
        <v>3154 - Controlador de tráfego aéreo</v>
      </c>
    </row>
    <row r="972" spans="1:3" x14ac:dyDescent="0.25">
      <c r="A972" t="s">
        <v>2938</v>
      </c>
      <c r="B972" t="s">
        <v>2939</v>
      </c>
      <c r="C972" t="str">
        <f t="shared" si="2"/>
        <v xml:space="preserve">3155 - Técnico de segurança de sistemas electrónicos aeronáuticos </v>
      </c>
    </row>
    <row r="973" spans="1:3" x14ac:dyDescent="0.25">
      <c r="A973" t="s">
        <v>2940</v>
      </c>
      <c r="B973" t="s">
        <v>2941</v>
      </c>
      <c r="C973" t="str">
        <f t="shared" si="2"/>
        <v>3211 - Técnico de equipamento de diagnóstico e terapêutico</v>
      </c>
    </row>
    <row r="974" spans="1:3" x14ac:dyDescent="0.25">
      <c r="A974" t="s">
        <v>2942</v>
      </c>
      <c r="B974" t="s">
        <v>2943</v>
      </c>
      <c r="C974" t="str">
        <f t="shared" si="2"/>
        <v>3212 - Técnicos de laboratório de anatomia patológica e medicina</v>
      </c>
    </row>
    <row r="975" spans="1:3" x14ac:dyDescent="0.25">
      <c r="A975" t="s">
        <v>2944</v>
      </c>
      <c r="B975" t="s">
        <v>2945</v>
      </c>
      <c r="C975" t="str">
        <f t="shared" si="2"/>
        <v xml:space="preserve">3213 - Técnicos e assistentes farmacêuticos </v>
      </c>
    </row>
    <row r="976" spans="1:3" x14ac:dyDescent="0.25">
      <c r="A976" t="s">
        <v>2946</v>
      </c>
      <c r="B976" t="s">
        <v>2947</v>
      </c>
      <c r="C976" t="str">
        <f t="shared" si="2"/>
        <v>3214 - Técnico de próteses médicas e dentárias</v>
      </c>
    </row>
    <row r="977" spans="1:3" x14ac:dyDescent="0.25">
      <c r="A977" t="s">
        <v>2948</v>
      </c>
      <c r="B977" t="s">
        <v>2949</v>
      </c>
      <c r="C977" t="str">
        <f t="shared" si="2"/>
        <v xml:space="preserve">3221 - Auxiliar de enfermagem </v>
      </c>
    </row>
    <row r="978" spans="1:3" x14ac:dyDescent="0.25">
      <c r="A978" t="s">
        <v>2950</v>
      </c>
      <c r="B978" t="s">
        <v>2951</v>
      </c>
      <c r="C978" t="str">
        <f t="shared" si="2"/>
        <v>3222 - Parteira</v>
      </c>
    </row>
    <row r="979" spans="1:3" x14ac:dyDescent="0.25">
      <c r="A979" t="s">
        <v>2952</v>
      </c>
      <c r="B979" t="s">
        <v>2953</v>
      </c>
      <c r="C979" t="str">
        <f t="shared" si="2"/>
        <v>3230 - Profissionais de nível intermédio da medicina tradicional e complementar</v>
      </c>
    </row>
    <row r="980" spans="1:3" x14ac:dyDescent="0.25">
      <c r="A980" t="s">
        <v>2954</v>
      </c>
      <c r="B980" t="s">
        <v>2955</v>
      </c>
      <c r="C980" t="str">
        <f t="shared" si="2"/>
        <v>3240 - Técnico e assistente de veterinários</v>
      </c>
    </row>
    <row r="981" spans="1:3" x14ac:dyDescent="0.25">
      <c r="A981" t="s">
        <v>2956</v>
      </c>
      <c r="B981" t="s">
        <v>2957</v>
      </c>
      <c r="C981" t="str">
        <f t="shared" si="2"/>
        <v xml:space="preserve">3251 - Terapeuta e assistente dentário </v>
      </c>
    </row>
    <row r="982" spans="1:3" x14ac:dyDescent="0.25">
      <c r="A982" t="s">
        <v>2958</v>
      </c>
      <c r="B982" t="s">
        <v>2959</v>
      </c>
      <c r="C982" t="str">
        <f t="shared" si="2"/>
        <v>3252 - Técnico de registos médicos e de informação sobre saúde</v>
      </c>
    </row>
    <row r="983" spans="1:3" x14ac:dyDescent="0.25">
      <c r="A983" t="s">
        <v>2960</v>
      </c>
      <c r="B983" t="s">
        <v>2961</v>
      </c>
      <c r="C983" t="str">
        <f t="shared" si="2"/>
        <v>3253 - Técnico dos serviços de saúde comunitária</v>
      </c>
    </row>
    <row r="984" spans="1:3" x14ac:dyDescent="0.25">
      <c r="A984" t="s">
        <v>2962</v>
      </c>
      <c r="B984" t="s">
        <v>2963</v>
      </c>
      <c r="C984" t="str">
        <f t="shared" si="2"/>
        <v>3254 - Técnicos de óptica ocular e de contactologia</v>
      </c>
    </row>
    <row r="985" spans="1:3" x14ac:dyDescent="0.25">
      <c r="A985" t="s">
        <v>2964</v>
      </c>
      <c r="B985" t="s">
        <v>2965</v>
      </c>
      <c r="C985" t="str">
        <f t="shared" si="2"/>
        <v>3255 - Técnico e assistente, de fisioterapia e similares</v>
      </c>
    </row>
    <row r="986" spans="1:3" x14ac:dyDescent="0.25">
      <c r="A986" t="s">
        <v>2966</v>
      </c>
      <c r="B986" t="s">
        <v>2967</v>
      </c>
      <c r="C986" t="str">
        <f t="shared" si="2"/>
        <v xml:space="preserve">3256 - Assistente de médicos </v>
      </c>
    </row>
    <row r="987" spans="1:3" x14ac:dyDescent="0.25">
      <c r="A987" t="s">
        <v>2968</v>
      </c>
      <c r="B987" t="s">
        <v>2969</v>
      </c>
      <c r="C987" t="str">
        <f t="shared" si="2"/>
        <v>3257 - Inspectores e técnicos, da saúde, do trabalho e ambiente</v>
      </c>
    </row>
    <row r="988" spans="1:3" x14ac:dyDescent="0.25">
      <c r="A988" t="s">
        <v>2970</v>
      </c>
      <c r="B988" t="s">
        <v>2971</v>
      </c>
      <c r="C988" t="str">
        <f t="shared" si="2"/>
        <v>3258 - Pessoal de ambulâncias</v>
      </c>
    </row>
    <row r="989" spans="1:3" x14ac:dyDescent="0.25">
      <c r="A989" t="s">
        <v>2972</v>
      </c>
      <c r="B989" t="s">
        <v>2973</v>
      </c>
      <c r="C989" t="str">
        <f t="shared" si="2"/>
        <v>3259 - Outros profissionais de nível intermédio da saúde, n.e.</v>
      </c>
    </row>
    <row r="990" spans="1:3" x14ac:dyDescent="0.25">
      <c r="A990" t="s">
        <v>2974</v>
      </c>
      <c r="B990" t="s">
        <v>2975</v>
      </c>
      <c r="C990" t="str">
        <f t="shared" si="2"/>
        <v>3311 - Corretor de bolsa, cambista e similares</v>
      </c>
    </row>
    <row r="991" spans="1:3" x14ac:dyDescent="0.25">
      <c r="A991" t="s">
        <v>2976</v>
      </c>
      <c r="B991" t="s">
        <v>2977</v>
      </c>
      <c r="C991" t="str">
        <f t="shared" si="2"/>
        <v xml:space="preserve">3312 - Agentes de crédito e empréstimos </v>
      </c>
    </row>
    <row r="992" spans="1:3" x14ac:dyDescent="0.25">
      <c r="A992" t="s">
        <v>2978</v>
      </c>
      <c r="B992" t="s">
        <v>2979</v>
      </c>
      <c r="C992" t="str">
        <f t="shared" si="2"/>
        <v>3313 - Técnicos administrativos de contabilidade</v>
      </c>
    </row>
    <row r="993" spans="1:3" x14ac:dyDescent="0.25">
      <c r="A993" t="s">
        <v>2980</v>
      </c>
      <c r="B993" t="s">
        <v>2981</v>
      </c>
      <c r="C993" t="str">
        <f t="shared" si="2"/>
        <v>3314 - Técnicos de nível intermédio, de estatística, matemática e similares</v>
      </c>
    </row>
    <row r="994" spans="1:3" x14ac:dyDescent="0.25">
      <c r="A994" t="s">
        <v>2982</v>
      </c>
      <c r="B994" t="s">
        <v>2983</v>
      </c>
      <c r="C994" t="str">
        <f t="shared" si="2"/>
        <v xml:space="preserve">3315 - Avaliador de imóveis, seguros e outros bens  </v>
      </c>
    </row>
    <row r="995" spans="1:3" x14ac:dyDescent="0.25">
      <c r="A995" t="s">
        <v>2984</v>
      </c>
      <c r="B995" t="s">
        <v>2985</v>
      </c>
      <c r="C995" t="str">
        <f t="shared" si="2"/>
        <v xml:space="preserve">3321 - Agente de seguros </v>
      </c>
    </row>
    <row r="996" spans="1:3" x14ac:dyDescent="0.25">
      <c r="A996" t="s">
        <v>2986</v>
      </c>
      <c r="B996" t="s">
        <v>2987</v>
      </c>
      <c r="C996" t="str">
        <f t="shared" si="2"/>
        <v xml:space="preserve">3322 - Representante comercial </v>
      </c>
    </row>
    <row r="997" spans="1:3" x14ac:dyDescent="0.25">
      <c r="A997" t="s">
        <v>2988</v>
      </c>
      <c r="B997" t="s">
        <v>2989</v>
      </c>
      <c r="C997" t="str">
        <f t="shared" si="2"/>
        <v>3323 - Técnico de compras</v>
      </c>
    </row>
    <row r="998" spans="1:3" x14ac:dyDescent="0.25">
      <c r="A998" t="s">
        <v>2990</v>
      </c>
      <c r="B998" t="s">
        <v>2991</v>
      </c>
      <c r="C998" t="str">
        <f t="shared" si="2"/>
        <v xml:space="preserve">3324 - Corretor comercial </v>
      </c>
    </row>
    <row r="999" spans="1:3" x14ac:dyDescent="0.25">
      <c r="A999" t="s">
        <v>2992</v>
      </c>
      <c r="B999" t="s">
        <v>2993</v>
      </c>
      <c r="C999" t="str">
        <f t="shared" si="2"/>
        <v>3331 - Despachante, transitário e similares</v>
      </c>
    </row>
    <row r="1000" spans="1:3" x14ac:dyDescent="0.25">
      <c r="A1000" t="s">
        <v>2994</v>
      </c>
      <c r="B1000" t="s">
        <v>2995</v>
      </c>
      <c r="C1000" t="str">
        <f t="shared" si="2"/>
        <v>3332 - Organizador de conferências e eventos</v>
      </c>
    </row>
    <row r="1001" spans="1:3" x14ac:dyDescent="0.25">
      <c r="A1001" t="s">
        <v>2996</v>
      </c>
      <c r="B1001" t="s">
        <v>2997</v>
      </c>
      <c r="C1001" t="str">
        <f t="shared" si="2"/>
        <v xml:space="preserve">3333 - Técnico da área do emprego </v>
      </c>
    </row>
    <row r="1002" spans="1:3" x14ac:dyDescent="0.25">
      <c r="A1002" t="s">
        <v>2998</v>
      </c>
      <c r="B1002" t="s">
        <v>2999</v>
      </c>
      <c r="C1002" t="str">
        <f t="shared" si="2"/>
        <v xml:space="preserve">3334 - Agente imobiliário e gestor de propriedades </v>
      </c>
    </row>
    <row r="1003" spans="1:3" x14ac:dyDescent="0.25">
      <c r="A1003" t="s">
        <v>3000</v>
      </c>
      <c r="B1003" t="s">
        <v>3001</v>
      </c>
      <c r="C1003" t="str">
        <f t="shared" si="2"/>
        <v xml:space="preserve">3339 - Outros agentes de negócios </v>
      </c>
    </row>
    <row r="1004" spans="1:3" x14ac:dyDescent="0.25">
      <c r="A1004" t="s">
        <v>3002</v>
      </c>
      <c r="B1004" t="s">
        <v>3003</v>
      </c>
      <c r="C1004" t="str">
        <f t="shared" si="2"/>
        <v xml:space="preserve">3341 - Supervisor de pessoal administrativo </v>
      </c>
    </row>
    <row r="1005" spans="1:3" x14ac:dyDescent="0.25">
      <c r="A1005" t="s">
        <v>3004</v>
      </c>
      <c r="B1005" t="s">
        <v>3005</v>
      </c>
      <c r="C1005" t="str">
        <f t="shared" si="2"/>
        <v>3342 - Secretário da área jurídica</v>
      </c>
    </row>
    <row r="1006" spans="1:3" x14ac:dyDescent="0.25">
      <c r="A1006" t="s">
        <v>3006</v>
      </c>
      <c r="B1006" t="s">
        <v>3007</v>
      </c>
      <c r="C1006" t="str">
        <f t="shared" si="2"/>
        <v>3343 - Secretário administrativo e executivo</v>
      </c>
    </row>
    <row r="1007" spans="1:3" x14ac:dyDescent="0.25">
      <c r="A1007" t="s">
        <v>3008</v>
      </c>
      <c r="B1007" t="s">
        <v>3009</v>
      </c>
      <c r="C1007" t="str">
        <f t="shared" si="2"/>
        <v xml:space="preserve">3344 - Secretário da área da medicina </v>
      </c>
    </row>
    <row r="1008" spans="1:3" x14ac:dyDescent="0.25">
      <c r="A1008" t="s">
        <v>3010</v>
      </c>
      <c r="B1008" t="s">
        <v>3011</v>
      </c>
      <c r="C1008" t="str">
        <f t="shared" ref="C1008:C1071" si="3">CONCATENATE(A1008, " - ",B1008)</f>
        <v>3351 - Inspector de alfândega e de fronteira</v>
      </c>
    </row>
    <row r="1009" spans="1:3" x14ac:dyDescent="0.25">
      <c r="A1009" t="s">
        <v>3012</v>
      </c>
      <c r="B1009" t="s">
        <v>3013</v>
      </c>
      <c r="C1009" t="str">
        <f t="shared" si="3"/>
        <v xml:space="preserve">3352 - Agente da administração tributária </v>
      </c>
    </row>
    <row r="1010" spans="1:3" x14ac:dyDescent="0.25">
      <c r="A1010" t="s">
        <v>3014</v>
      </c>
      <c r="B1010" t="s">
        <v>3015</v>
      </c>
      <c r="C1010" t="str">
        <f t="shared" si="3"/>
        <v xml:space="preserve">3353 - Agente de serviços da segurança social </v>
      </c>
    </row>
    <row r="1011" spans="1:3" x14ac:dyDescent="0.25">
      <c r="A1011" t="s">
        <v>3016</v>
      </c>
      <c r="B1011" t="s">
        <v>3017</v>
      </c>
      <c r="C1011" t="str">
        <f t="shared" si="3"/>
        <v xml:space="preserve">3354 - Agente de serviços de licenciamento </v>
      </c>
    </row>
    <row r="1012" spans="1:3" x14ac:dyDescent="0.25">
      <c r="A1012" t="s">
        <v>3018</v>
      </c>
      <c r="B1012" t="s">
        <v>3019</v>
      </c>
      <c r="C1012" t="str">
        <f t="shared" si="3"/>
        <v>3355 - Inspector e detective da polícia</v>
      </c>
    </row>
    <row r="1013" spans="1:3" x14ac:dyDescent="0.25">
      <c r="A1013" t="s">
        <v>3020</v>
      </c>
      <c r="B1013" t="s">
        <v>3021</v>
      </c>
      <c r="C1013" t="str">
        <f t="shared" si="3"/>
        <v>3359 - Outros agentes de nível intermédio da Administração Pública, para aplicação da lei e similares</v>
      </c>
    </row>
    <row r="1014" spans="1:3" x14ac:dyDescent="0.25">
      <c r="A1014" t="s">
        <v>3022</v>
      </c>
      <c r="B1014" t="s">
        <v>3023</v>
      </c>
      <c r="C1014" t="str">
        <f t="shared" si="3"/>
        <v xml:space="preserve">3411 - Técnico de nível intermédio dos serviços jurídicos e relacionados </v>
      </c>
    </row>
    <row r="1015" spans="1:3" x14ac:dyDescent="0.25">
      <c r="A1015" t="s">
        <v>3024</v>
      </c>
      <c r="B1015" t="s">
        <v>3025</v>
      </c>
      <c r="C1015" t="str">
        <f t="shared" si="3"/>
        <v>3412 - Técnico de nível intermédio de apoio social</v>
      </c>
    </row>
    <row r="1016" spans="1:3" x14ac:dyDescent="0.25">
      <c r="A1016" t="s">
        <v>3026</v>
      </c>
      <c r="B1016" t="s">
        <v>3027</v>
      </c>
      <c r="C1016" t="str">
        <f t="shared" si="3"/>
        <v>3413 - Membro de ordem religiosa e técnicos de apoio religioso</v>
      </c>
    </row>
    <row r="1017" spans="1:3" x14ac:dyDescent="0.25">
      <c r="A1017" t="s">
        <v>3028</v>
      </c>
      <c r="B1017" t="s">
        <v>3029</v>
      </c>
      <c r="C1017" t="str">
        <f t="shared" si="3"/>
        <v xml:space="preserve">3421 - Atletas e desportistas de competição </v>
      </c>
    </row>
    <row r="1018" spans="1:3" x14ac:dyDescent="0.25">
      <c r="A1018" t="s">
        <v>3030</v>
      </c>
      <c r="B1018" t="s">
        <v>3031</v>
      </c>
      <c r="C1018" t="str">
        <f t="shared" si="3"/>
        <v>3422 - Treinadores, instrutores e árbitros, de desportos</v>
      </c>
    </row>
    <row r="1019" spans="1:3" x14ac:dyDescent="0.25">
      <c r="A1019" t="s">
        <v>3032</v>
      </c>
      <c r="B1019" t="s">
        <v>3033</v>
      </c>
      <c r="C1019" t="str">
        <f t="shared" si="3"/>
        <v xml:space="preserve">3423 - Instrutores e monitores de actividade física e recreação </v>
      </c>
    </row>
    <row r="1020" spans="1:3" x14ac:dyDescent="0.25">
      <c r="A1020" t="s">
        <v>3034</v>
      </c>
      <c r="B1020" t="s">
        <v>3035</v>
      </c>
      <c r="C1020" t="str">
        <f t="shared" si="3"/>
        <v>3431 - Fotógrafo</v>
      </c>
    </row>
    <row r="1021" spans="1:3" x14ac:dyDescent="0.25">
      <c r="A1021" t="s">
        <v>3036</v>
      </c>
      <c r="B1021" t="s">
        <v>3037</v>
      </c>
      <c r="C1021" t="str">
        <f t="shared" si="3"/>
        <v>3432 - Decorador</v>
      </c>
    </row>
    <row r="1022" spans="1:3" x14ac:dyDescent="0.25">
      <c r="A1022" t="s">
        <v>3038</v>
      </c>
      <c r="B1022" t="s">
        <v>3039</v>
      </c>
      <c r="C1022" t="str">
        <f t="shared" si="3"/>
        <v>3433 - Técnicos de galerias, bibliotecas, arquivos e museus</v>
      </c>
    </row>
    <row r="1023" spans="1:3" x14ac:dyDescent="0.25">
      <c r="A1023" t="s">
        <v>3040</v>
      </c>
      <c r="B1023" t="s">
        <v>3041</v>
      </c>
      <c r="C1023" t="str">
        <f t="shared" si="3"/>
        <v>3434 - Chefe de cozinha</v>
      </c>
    </row>
    <row r="1024" spans="1:3" x14ac:dyDescent="0.25">
      <c r="A1024" t="s">
        <v>3042</v>
      </c>
      <c r="B1024" t="s">
        <v>3043</v>
      </c>
      <c r="C1024" t="str">
        <f t="shared" si="3"/>
        <v>3435 - Outros técnicos de nível intermédio das actividades culturais e artísticas</v>
      </c>
    </row>
    <row r="1025" spans="1:3" x14ac:dyDescent="0.25">
      <c r="A1025" t="s">
        <v>3044</v>
      </c>
      <c r="B1025" t="s">
        <v>3045</v>
      </c>
      <c r="C1025" t="str">
        <f t="shared" si="3"/>
        <v xml:space="preserve">3511 - Técnico operador das tecnologias de informação e comunicação (TIC) </v>
      </c>
    </row>
    <row r="1026" spans="1:3" x14ac:dyDescent="0.25">
      <c r="A1026" t="s">
        <v>3046</v>
      </c>
      <c r="B1026" t="s">
        <v>3047</v>
      </c>
      <c r="C1026" t="str">
        <f t="shared" si="3"/>
        <v>3512 - Técnico de apoio aos utilizadores das tecnologias da informação e comunicação (TIC)</v>
      </c>
    </row>
    <row r="1027" spans="1:3" x14ac:dyDescent="0.25">
      <c r="A1027" t="s">
        <v>3048</v>
      </c>
      <c r="B1027" t="s">
        <v>3049</v>
      </c>
      <c r="C1027" t="str">
        <f t="shared" si="3"/>
        <v>3513 - Técnico em redes e sistemas de computadores</v>
      </c>
    </row>
    <row r="1028" spans="1:3" x14ac:dyDescent="0.25">
      <c r="A1028" t="s">
        <v>3050</v>
      </c>
      <c r="B1028" t="s">
        <v>3051</v>
      </c>
      <c r="C1028" t="str">
        <f t="shared" si="3"/>
        <v>3514 - Técnico da Web</v>
      </c>
    </row>
    <row r="1029" spans="1:3" x14ac:dyDescent="0.25">
      <c r="A1029" t="s">
        <v>3052</v>
      </c>
      <c r="B1029" t="s">
        <v>3053</v>
      </c>
      <c r="C1029" t="str">
        <f t="shared" si="3"/>
        <v xml:space="preserve">3521 - Técnicos de emissões de rádio e televisão e de gravação audiovisual e de sistemas de comunicações via rádio </v>
      </c>
    </row>
    <row r="1030" spans="1:3" x14ac:dyDescent="0.25">
      <c r="A1030" t="s">
        <v>3054</v>
      </c>
      <c r="B1030" t="s">
        <v>3055</v>
      </c>
      <c r="C1030" t="str">
        <f t="shared" si="3"/>
        <v>3522 - Técnico de telecomunicações</v>
      </c>
    </row>
    <row r="1031" spans="1:3" x14ac:dyDescent="0.25">
      <c r="A1031" t="s">
        <v>3056</v>
      </c>
      <c r="B1031" t="s">
        <v>3057</v>
      </c>
      <c r="C1031" t="str">
        <f t="shared" si="3"/>
        <v>4110 - Empregado de escritório em geral</v>
      </c>
    </row>
    <row r="1032" spans="1:3" x14ac:dyDescent="0.25">
      <c r="A1032" t="s">
        <v>3058</v>
      </c>
      <c r="B1032" t="s">
        <v>3059</v>
      </c>
      <c r="C1032" t="str">
        <f t="shared" si="3"/>
        <v>4120 - Técnico de secretariado</v>
      </c>
    </row>
    <row r="1033" spans="1:3" x14ac:dyDescent="0.25">
      <c r="A1033" t="s">
        <v>3060</v>
      </c>
      <c r="B1033" t="s">
        <v>3061</v>
      </c>
      <c r="C1033" t="str">
        <f t="shared" si="3"/>
        <v>4131 - Dactilógrafo e operador de processamento de texto</v>
      </c>
    </row>
    <row r="1034" spans="1:3" x14ac:dyDescent="0.25">
      <c r="A1034" t="s">
        <v>3062</v>
      </c>
      <c r="B1034" t="s">
        <v>3063</v>
      </c>
      <c r="C1034" t="str">
        <f t="shared" si="3"/>
        <v>4132 - Operador de registo de dados</v>
      </c>
    </row>
    <row r="1035" spans="1:3" x14ac:dyDescent="0.25">
      <c r="A1035" t="s">
        <v>3064</v>
      </c>
      <c r="B1035" t="s">
        <v>3065</v>
      </c>
      <c r="C1035" t="str">
        <f t="shared" si="3"/>
        <v>4211 - Caixa bancário e similar</v>
      </c>
    </row>
    <row r="1036" spans="1:3" x14ac:dyDescent="0.25">
      <c r="A1036" t="s">
        <v>3066</v>
      </c>
      <c r="B1036" t="s">
        <v>3067</v>
      </c>
      <c r="C1036" t="str">
        <f t="shared" si="3"/>
        <v>4212 - Empregado de banca nos casinos e outros empregados de apostas</v>
      </c>
    </row>
    <row r="1037" spans="1:3" x14ac:dyDescent="0.25">
      <c r="A1037" t="s">
        <v>3068</v>
      </c>
      <c r="B1037" t="s">
        <v>3069</v>
      </c>
      <c r="C1037" t="str">
        <f t="shared" si="3"/>
        <v xml:space="preserve">4213 - Penhorista e prestamista </v>
      </c>
    </row>
    <row r="1038" spans="1:3" x14ac:dyDescent="0.25">
      <c r="A1038" t="s">
        <v>3070</v>
      </c>
      <c r="B1038" t="s">
        <v>3071</v>
      </c>
      <c r="C1038" t="str">
        <f t="shared" si="3"/>
        <v>4214 - Cobrador de facturas e similares</v>
      </c>
    </row>
    <row r="1039" spans="1:3" x14ac:dyDescent="0.25">
      <c r="A1039" t="s">
        <v>3072</v>
      </c>
      <c r="B1039" t="s">
        <v>3073</v>
      </c>
      <c r="C1039" t="str">
        <f t="shared" si="3"/>
        <v xml:space="preserve">4221 - Empregado das agências de viagens </v>
      </c>
    </row>
    <row r="1040" spans="1:3" x14ac:dyDescent="0.25">
      <c r="A1040" t="s">
        <v>3074</v>
      </c>
      <c r="B1040" t="s">
        <v>3075</v>
      </c>
      <c r="C1040" t="str">
        <f t="shared" si="3"/>
        <v>4222 - Empregado dos centros de chamadas</v>
      </c>
    </row>
    <row r="1041" spans="1:3" x14ac:dyDescent="0.25">
      <c r="A1041" t="s">
        <v>3076</v>
      </c>
      <c r="B1041" t="s">
        <v>3077</v>
      </c>
      <c r="C1041" t="str">
        <f t="shared" si="3"/>
        <v>4223 - Operador de central telefónica</v>
      </c>
    </row>
    <row r="1042" spans="1:3" x14ac:dyDescent="0.25">
      <c r="A1042" t="s">
        <v>3078</v>
      </c>
      <c r="B1042" t="s">
        <v>3079</v>
      </c>
      <c r="C1042" t="str">
        <f t="shared" si="3"/>
        <v xml:space="preserve">4224 - Recepcionista de hotel  </v>
      </c>
    </row>
    <row r="1043" spans="1:3" x14ac:dyDescent="0.25">
      <c r="A1043" t="s">
        <v>3080</v>
      </c>
      <c r="B1043" t="s">
        <v>3081</v>
      </c>
      <c r="C1043" t="str">
        <f t="shared" si="3"/>
        <v>4225 - Pessoal de informação administrativa</v>
      </c>
    </row>
    <row r="1044" spans="1:3" x14ac:dyDescent="0.25">
      <c r="A1044" t="s">
        <v>3082</v>
      </c>
      <c r="B1044" t="s">
        <v>3083</v>
      </c>
      <c r="C1044" t="str">
        <f t="shared" si="3"/>
        <v xml:space="preserve">4226 - Recepcionista, excepto de hotel </v>
      </c>
    </row>
    <row r="1045" spans="1:3" x14ac:dyDescent="0.25">
      <c r="A1045" t="s">
        <v>3084</v>
      </c>
      <c r="B1045" t="s">
        <v>3085</v>
      </c>
      <c r="C1045" t="str">
        <f t="shared" si="3"/>
        <v>4227 - Entrevistador de inquéritos e de estudos de mercado</v>
      </c>
    </row>
    <row r="1046" spans="1:3" x14ac:dyDescent="0.25">
      <c r="A1046" t="s">
        <v>3086</v>
      </c>
      <c r="B1046" t="s">
        <v>3087</v>
      </c>
      <c r="C1046" t="str">
        <f t="shared" si="3"/>
        <v xml:space="preserve">4229 - Outro pessoal de recepção e de informação a clientes </v>
      </c>
    </row>
    <row r="1047" spans="1:3" x14ac:dyDescent="0.25">
      <c r="A1047" t="s">
        <v>3088</v>
      </c>
      <c r="B1047" t="s">
        <v>3089</v>
      </c>
      <c r="C1047" t="str">
        <f t="shared" si="3"/>
        <v>4311 - Operador de contabilidade e escrituração comercial</v>
      </c>
    </row>
    <row r="1048" spans="1:3" x14ac:dyDescent="0.25">
      <c r="A1048" t="s">
        <v>3090</v>
      </c>
      <c r="B1048" t="s">
        <v>3091</v>
      </c>
      <c r="C1048" t="str">
        <f t="shared" si="3"/>
        <v>4312 - Operador dos serviços de estatística, financeiros e seguros</v>
      </c>
    </row>
    <row r="1049" spans="1:3" x14ac:dyDescent="0.25">
      <c r="A1049" t="s">
        <v>3092</v>
      </c>
      <c r="B1049" t="s">
        <v>3093</v>
      </c>
      <c r="C1049" t="str">
        <f t="shared" si="3"/>
        <v xml:space="preserve">4313 - Operador de dados de processamento de pagamentos </v>
      </c>
    </row>
    <row r="1050" spans="1:3" x14ac:dyDescent="0.25">
      <c r="A1050" t="s">
        <v>3094</v>
      </c>
      <c r="B1050" t="s">
        <v>3095</v>
      </c>
      <c r="C1050" t="str">
        <f t="shared" si="3"/>
        <v xml:space="preserve">4321 - Empregados de aprovisionamento e armazém </v>
      </c>
    </row>
    <row r="1051" spans="1:3" x14ac:dyDescent="0.25">
      <c r="A1051" t="s">
        <v>3096</v>
      </c>
      <c r="B1051" t="s">
        <v>3097</v>
      </c>
      <c r="C1051" t="str">
        <f t="shared" si="3"/>
        <v>4322 - Empregado de serviços de apoio à produção</v>
      </c>
    </row>
    <row r="1052" spans="1:3" x14ac:dyDescent="0.25">
      <c r="A1052" t="s">
        <v>3098</v>
      </c>
      <c r="B1052" t="s">
        <v>3099</v>
      </c>
      <c r="C1052" t="str">
        <f t="shared" si="3"/>
        <v>4323 - Empregado de controlo de registo dos serviços de transporte</v>
      </c>
    </row>
    <row r="1053" spans="1:3" x14ac:dyDescent="0.25">
      <c r="A1053" t="s">
        <v>3100</v>
      </c>
      <c r="B1053" t="s">
        <v>3101</v>
      </c>
      <c r="C1053" t="str">
        <f t="shared" si="3"/>
        <v xml:space="preserve">4411 - Empregado de biblioteca </v>
      </c>
    </row>
    <row r="1054" spans="1:3" x14ac:dyDescent="0.25">
      <c r="A1054" t="s">
        <v>3102</v>
      </c>
      <c r="B1054" t="s">
        <v>3103</v>
      </c>
      <c r="C1054" t="str">
        <f t="shared" si="3"/>
        <v>4412 - Carteiro e similares</v>
      </c>
    </row>
    <row r="1055" spans="1:3" x14ac:dyDescent="0.25">
      <c r="A1055" t="s">
        <v>3104</v>
      </c>
      <c r="B1055" t="s">
        <v>3105</v>
      </c>
      <c r="C1055" t="str">
        <f t="shared" si="3"/>
        <v>4413 - Codificador, revisor de provas e similares</v>
      </c>
    </row>
    <row r="1056" spans="1:3" x14ac:dyDescent="0.25">
      <c r="A1056" t="s">
        <v>3106</v>
      </c>
      <c r="B1056" t="s">
        <v>3107</v>
      </c>
      <c r="C1056" t="str">
        <f t="shared" si="3"/>
        <v>4414 - Escrivão e similares</v>
      </c>
    </row>
    <row r="1057" spans="1:3" x14ac:dyDescent="0.25">
      <c r="A1057" t="s">
        <v>3108</v>
      </c>
      <c r="B1057" t="s">
        <v>3109</v>
      </c>
      <c r="C1057" t="str">
        <f t="shared" si="3"/>
        <v xml:space="preserve">4415 - Classificador arquivista </v>
      </c>
    </row>
    <row r="1058" spans="1:3" x14ac:dyDescent="0.25">
      <c r="A1058" t="s">
        <v>3110</v>
      </c>
      <c r="B1058" t="s">
        <v>3111</v>
      </c>
      <c r="C1058" t="str">
        <f t="shared" si="3"/>
        <v>4416 - Empregado de serviço de pessoal</v>
      </c>
    </row>
    <row r="1059" spans="1:3" x14ac:dyDescent="0.25">
      <c r="A1059" t="s">
        <v>3112</v>
      </c>
      <c r="B1059" t="s">
        <v>3113</v>
      </c>
      <c r="C1059" t="str">
        <f t="shared" si="3"/>
        <v xml:space="preserve">4419 - Outro pessoal de apoio de tipo administrativo, n.e. </v>
      </c>
    </row>
    <row r="1060" spans="1:3" x14ac:dyDescent="0.25">
      <c r="A1060" t="s">
        <v>3114</v>
      </c>
      <c r="B1060" t="s">
        <v>3115</v>
      </c>
      <c r="C1060" t="str">
        <f t="shared" si="3"/>
        <v xml:space="preserve">5111 - Assistentes de viagem e comissários </v>
      </c>
    </row>
    <row r="1061" spans="1:3" x14ac:dyDescent="0.25">
      <c r="A1061" t="s">
        <v>3116</v>
      </c>
      <c r="B1061" t="s">
        <v>3117</v>
      </c>
      <c r="C1061" t="str">
        <f t="shared" si="3"/>
        <v>5112 - Fiscal e cobrador de transportes públicos</v>
      </c>
    </row>
    <row r="1062" spans="1:3" x14ac:dyDescent="0.25">
      <c r="A1062" t="s">
        <v>3118</v>
      </c>
      <c r="B1062" t="s">
        <v>3119</v>
      </c>
      <c r="C1062" t="str">
        <f t="shared" si="3"/>
        <v xml:space="preserve">5113 - Guia intérprete  </v>
      </c>
    </row>
    <row r="1063" spans="1:3" x14ac:dyDescent="0.25">
      <c r="A1063" t="s">
        <v>3120</v>
      </c>
      <c r="B1063" t="s">
        <v>3121</v>
      </c>
      <c r="C1063" t="str">
        <f t="shared" si="3"/>
        <v xml:space="preserve">5120 - Cozinheiro </v>
      </c>
    </row>
    <row r="1064" spans="1:3" x14ac:dyDescent="0.25">
      <c r="A1064" t="s">
        <v>3122</v>
      </c>
      <c r="B1064" t="s">
        <v>3123</v>
      </c>
      <c r="C1064" t="str">
        <f t="shared" si="3"/>
        <v xml:space="preserve">5131 - Empregado de mesa </v>
      </c>
    </row>
    <row r="1065" spans="1:3" x14ac:dyDescent="0.25">
      <c r="A1065" t="s">
        <v>3124</v>
      </c>
      <c r="B1065" t="s">
        <v>3125</v>
      </c>
      <c r="C1065" t="str">
        <f t="shared" si="3"/>
        <v>5132 - Empregado de bar</v>
      </c>
    </row>
    <row r="1066" spans="1:3" x14ac:dyDescent="0.25">
      <c r="A1066" t="s">
        <v>3126</v>
      </c>
      <c r="B1066" t="s">
        <v>3127</v>
      </c>
      <c r="C1066" t="str">
        <f t="shared" si="3"/>
        <v>5141 - Cabeleireiro e barbeiro</v>
      </c>
    </row>
    <row r="1067" spans="1:3" x14ac:dyDescent="0.25">
      <c r="A1067" t="s">
        <v>3128</v>
      </c>
      <c r="B1067" t="s">
        <v>3129</v>
      </c>
      <c r="C1067" t="str">
        <f t="shared" si="3"/>
        <v xml:space="preserve">5142 - Esteticistas e trabalhadores similares </v>
      </c>
    </row>
    <row r="1068" spans="1:3" x14ac:dyDescent="0.25">
      <c r="A1068" t="s">
        <v>3130</v>
      </c>
      <c r="B1068" t="s">
        <v>3131</v>
      </c>
      <c r="C1068" t="str">
        <f t="shared" si="3"/>
        <v>5151 - Encarregado de limpeza e de trabalhos domésticos em escritórios, hotéis e outros estabelecimentos</v>
      </c>
    </row>
    <row r="1069" spans="1:3" x14ac:dyDescent="0.25">
      <c r="A1069" t="s">
        <v>3132</v>
      </c>
      <c r="B1069" t="s">
        <v>3133</v>
      </c>
      <c r="C1069" t="str">
        <f t="shared" si="3"/>
        <v>5152 - Governante doméstico</v>
      </c>
    </row>
    <row r="1070" spans="1:3" x14ac:dyDescent="0.25">
      <c r="A1070" t="s">
        <v>3134</v>
      </c>
      <c r="B1070" t="s">
        <v>3135</v>
      </c>
      <c r="C1070" t="str">
        <f t="shared" si="3"/>
        <v>5153 - Porteiro de edifícios</v>
      </c>
    </row>
    <row r="1071" spans="1:3" x14ac:dyDescent="0.25">
      <c r="A1071" t="s">
        <v>3136</v>
      </c>
      <c r="B1071" t="s">
        <v>3137</v>
      </c>
      <c r="C1071" t="str">
        <f t="shared" si="3"/>
        <v>5161 - Astrólogos, adivinhadores e similares</v>
      </c>
    </row>
    <row r="1072" spans="1:3" x14ac:dyDescent="0.25">
      <c r="A1072" t="s">
        <v>3138</v>
      </c>
      <c r="B1072" t="s">
        <v>3139</v>
      </c>
      <c r="C1072" t="str">
        <f t="shared" ref="C1072:C1135" si="4">CONCATENATE(A1072, " - ",B1072)</f>
        <v>5162 - Pessoal de companhia e ajudantes de quarto</v>
      </c>
    </row>
    <row r="1073" spans="1:3" x14ac:dyDescent="0.25">
      <c r="A1073" t="s">
        <v>3140</v>
      </c>
      <c r="B1073" t="s">
        <v>3141</v>
      </c>
      <c r="C1073" t="str">
        <f t="shared" si="4"/>
        <v>5163 - Agentes funerários e embalsamadores</v>
      </c>
    </row>
    <row r="1074" spans="1:3" x14ac:dyDescent="0.25">
      <c r="A1074" t="s">
        <v>3142</v>
      </c>
      <c r="B1074" t="s">
        <v>3143</v>
      </c>
      <c r="C1074" t="str">
        <f t="shared" si="4"/>
        <v xml:space="preserve">5164 - Prestador de cuidados a animais </v>
      </c>
    </row>
    <row r="1075" spans="1:3" x14ac:dyDescent="0.25">
      <c r="A1075" t="s">
        <v>3144</v>
      </c>
      <c r="B1075" t="s">
        <v>3145</v>
      </c>
      <c r="C1075" t="str">
        <f t="shared" si="4"/>
        <v>5165 - Instrutor de condução</v>
      </c>
    </row>
    <row r="1076" spans="1:3" x14ac:dyDescent="0.25">
      <c r="A1076" t="s">
        <v>3146</v>
      </c>
      <c r="B1076" t="s">
        <v>3147</v>
      </c>
      <c r="C1076" t="str">
        <f t="shared" si="4"/>
        <v>5169 - Outros trabalhadores dos serviços pessoais, n.e.</v>
      </c>
    </row>
    <row r="1077" spans="1:3" x14ac:dyDescent="0.25">
      <c r="A1077" t="s">
        <v>3148</v>
      </c>
      <c r="B1077" t="s">
        <v>3149</v>
      </c>
      <c r="C1077" t="str">
        <f t="shared" si="4"/>
        <v xml:space="preserve">5211 - Vendedor em quiosque e em mercados  </v>
      </c>
    </row>
    <row r="1078" spans="1:3" x14ac:dyDescent="0.25">
      <c r="A1078" t="s">
        <v>3150</v>
      </c>
      <c r="B1078" t="s">
        <v>3151</v>
      </c>
      <c r="C1078" t="str">
        <f t="shared" si="4"/>
        <v>5212 - Vendedor ambulante de produtos alimentares</v>
      </c>
    </row>
    <row r="1079" spans="1:3" x14ac:dyDescent="0.25">
      <c r="A1079" t="s">
        <v>3152</v>
      </c>
      <c r="B1079" t="s">
        <v>3153</v>
      </c>
      <c r="C1079" t="str">
        <f t="shared" si="4"/>
        <v>5221 - Comerciante de loja (estabelecimento)</v>
      </c>
    </row>
    <row r="1080" spans="1:3" x14ac:dyDescent="0.25">
      <c r="A1080" t="s">
        <v>3154</v>
      </c>
      <c r="B1080" t="s">
        <v>3155</v>
      </c>
      <c r="C1080" t="str">
        <f t="shared" si="4"/>
        <v>5222 - Encarregado de loja (estabelecimento)</v>
      </c>
    </row>
    <row r="1081" spans="1:3" x14ac:dyDescent="0.25">
      <c r="A1081" t="s">
        <v>3156</v>
      </c>
      <c r="B1081" t="s">
        <v>3157</v>
      </c>
      <c r="C1081" t="str">
        <f t="shared" si="4"/>
        <v>5223 - Vendedor em loja (estabelecimento)</v>
      </c>
    </row>
    <row r="1082" spans="1:3" x14ac:dyDescent="0.25">
      <c r="A1082" t="s">
        <v>3158</v>
      </c>
      <c r="B1082" t="s">
        <v>3159</v>
      </c>
      <c r="C1082" t="str">
        <f t="shared" si="4"/>
        <v>5230 - Operadores de caixa e venda de bilhetes</v>
      </c>
    </row>
    <row r="1083" spans="1:3" x14ac:dyDescent="0.25">
      <c r="A1083" t="s">
        <v>3160</v>
      </c>
      <c r="B1083" t="s">
        <v>3161</v>
      </c>
      <c r="C1083" t="str">
        <f t="shared" si="4"/>
        <v xml:space="preserve">5241 - Manequim e outros modelos </v>
      </c>
    </row>
    <row r="1084" spans="1:3" x14ac:dyDescent="0.25">
      <c r="A1084" t="s">
        <v>3162</v>
      </c>
      <c r="B1084" t="s">
        <v>3163</v>
      </c>
      <c r="C1084" t="str">
        <f t="shared" si="4"/>
        <v>5242 - Demonstrador</v>
      </c>
    </row>
    <row r="1085" spans="1:3" x14ac:dyDescent="0.25">
      <c r="A1085" t="s">
        <v>3164</v>
      </c>
      <c r="B1085" t="s">
        <v>3165</v>
      </c>
      <c r="C1085" t="str">
        <f t="shared" si="4"/>
        <v xml:space="preserve">5243 - Vendedor ao domicílio </v>
      </c>
    </row>
    <row r="1086" spans="1:3" x14ac:dyDescent="0.25">
      <c r="A1086" t="s">
        <v>3166</v>
      </c>
      <c r="B1086" t="s">
        <v>3167</v>
      </c>
      <c r="C1086" t="str">
        <f t="shared" si="4"/>
        <v>5244 - Vendedor de centros de contacto</v>
      </c>
    </row>
    <row r="1087" spans="1:3" x14ac:dyDescent="0.25">
      <c r="A1087" t="s">
        <v>3168</v>
      </c>
      <c r="B1087" t="s">
        <v>3169</v>
      </c>
      <c r="C1087" t="str">
        <f t="shared" si="4"/>
        <v xml:space="preserve">5245 - Assistente de estação de serviço ao condutor </v>
      </c>
    </row>
    <row r="1088" spans="1:3" x14ac:dyDescent="0.25">
      <c r="A1088" t="s">
        <v>3170</v>
      </c>
      <c r="B1088" t="s">
        <v>3171</v>
      </c>
      <c r="C1088" t="str">
        <f t="shared" si="4"/>
        <v>5246 - Assistente de venda de alimentos ao balcão</v>
      </c>
    </row>
    <row r="1089" spans="1:3" x14ac:dyDescent="0.25">
      <c r="A1089" t="s">
        <v>3172</v>
      </c>
      <c r="B1089" t="s">
        <v>3173</v>
      </c>
      <c r="C1089" t="str">
        <f t="shared" si="4"/>
        <v xml:space="preserve">5249 - Outros trabalhadores relacionados com vendas, n.e. </v>
      </c>
    </row>
    <row r="1090" spans="1:3" x14ac:dyDescent="0.25">
      <c r="A1090" t="s">
        <v>3174</v>
      </c>
      <c r="B1090" t="s">
        <v>3175</v>
      </c>
      <c r="C1090" t="str">
        <f t="shared" si="4"/>
        <v>5311 - Auxiliar de cuidados de crianças</v>
      </c>
    </row>
    <row r="1091" spans="1:3" x14ac:dyDescent="0.25">
      <c r="A1091" t="s">
        <v>3176</v>
      </c>
      <c r="B1091" t="s">
        <v>3177</v>
      </c>
      <c r="C1091" t="str">
        <f t="shared" si="4"/>
        <v>5312 - Auxiliar de professor</v>
      </c>
    </row>
    <row r="1092" spans="1:3" x14ac:dyDescent="0.25">
      <c r="A1092" t="s">
        <v>3178</v>
      </c>
      <c r="B1092" t="s">
        <v>3179</v>
      </c>
      <c r="C1092" t="str">
        <f t="shared" si="4"/>
        <v>5321 - Auxiliar de saúde</v>
      </c>
    </row>
    <row r="1093" spans="1:3" x14ac:dyDescent="0.25">
      <c r="A1093" t="s">
        <v>3180</v>
      </c>
      <c r="B1093" t="s">
        <v>3181</v>
      </c>
      <c r="C1093" t="str">
        <f t="shared" si="4"/>
        <v>5322 - Ajudante familiar</v>
      </c>
    </row>
    <row r="1094" spans="1:3" x14ac:dyDescent="0.25">
      <c r="A1094" t="s">
        <v>3182</v>
      </c>
      <c r="B1094" t="s">
        <v>3183</v>
      </c>
      <c r="C1094" t="str">
        <f t="shared" si="4"/>
        <v>5329 - Outros trabalhadores dos cuidados pessoais e similares nos serviços de saúde</v>
      </c>
    </row>
    <row r="1095" spans="1:3" x14ac:dyDescent="0.25">
      <c r="A1095" t="s">
        <v>3184</v>
      </c>
      <c r="B1095" t="s">
        <v>3185</v>
      </c>
      <c r="C1095" t="str">
        <f t="shared" si="4"/>
        <v>5411 - Bombeiro</v>
      </c>
    </row>
    <row r="1096" spans="1:3" x14ac:dyDescent="0.25">
      <c r="A1096" t="s">
        <v>3186</v>
      </c>
      <c r="B1096" t="s">
        <v>3187</v>
      </c>
      <c r="C1096" t="str">
        <f t="shared" si="4"/>
        <v>5412 - Agentes da PSP,  Polícia Marítima, Polícia Municipal, sargentos e guardas da GNR</v>
      </c>
    </row>
    <row r="1097" spans="1:3" x14ac:dyDescent="0.25">
      <c r="A1097" t="s">
        <v>3188</v>
      </c>
      <c r="B1097" t="s">
        <v>3189</v>
      </c>
      <c r="C1097" t="str">
        <f t="shared" si="4"/>
        <v xml:space="preserve">5413 - Guarda dos serviços prisionais </v>
      </c>
    </row>
    <row r="1098" spans="1:3" x14ac:dyDescent="0.25">
      <c r="A1098" t="s">
        <v>3190</v>
      </c>
      <c r="B1098" t="s">
        <v>3191</v>
      </c>
      <c r="C1098" t="str">
        <f t="shared" si="4"/>
        <v>5414 - Segurança (vigilante privado), porteiros e similares</v>
      </c>
    </row>
    <row r="1099" spans="1:3" x14ac:dyDescent="0.25">
      <c r="A1099" t="s">
        <v>3192</v>
      </c>
      <c r="B1099" t="s">
        <v>3193</v>
      </c>
      <c r="C1099" t="str">
        <f t="shared" si="4"/>
        <v xml:space="preserve">5419 - Outro pessoal dos serviços de protecção e segurança </v>
      </c>
    </row>
    <row r="1100" spans="1:3" x14ac:dyDescent="0.25">
      <c r="A1100" t="s">
        <v>3194</v>
      </c>
      <c r="B1100" t="s">
        <v>3195</v>
      </c>
      <c r="C1100" t="str">
        <f t="shared" si="4"/>
        <v>6111 - Agricultor e trabalhador qualificado de cereais e outras culturas extensivas</v>
      </c>
    </row>
    <row r="1101" spans="1:3" x14ac:dyDescent="0.25">
      <c r="A1101" t="s">
        <v>3196</v>
      </c>
      <c r="B1101" t="s">
        <v>3197</v>
      </c>
      <c r="C1101" t="str">
        <f t="shared" si="4"/>
        <v xml:space="preserve">6112 - Agricultor e trabalhador qualificado de culturas de árvores e arbustos </v>
      </c>
    </row>
    <row r="1102" spans="1:3" x14ac:dyDescent="0.25">
      <c r="A1102" t="s">
        <v>3198</v>
      </c>
      <c r="B1102" t="s">
        <v>3199</v>
      </c>
      <c r="C1102" t="str">
        <f t="shared" si="4"/>
        <v xml:space="preserve">6113 - Agricultor e trabalhador qualificado, da horticultura, floricultura, de viveiros e jardins </v>
      </c>
    </row>
    <row r="1103" spans="1:3" x14ac:dyDescent="0.25">
      <c r="A1103" t="s">
        <v>3200</v>
      </c>
      <c r="B1103" t="s">
        <v>3201</v>
      </c>
      <c r="C1103" t="str">
        <f t="shared" si="4"/>
        <v>6114 - Agricultor e trabalhador qualificado de culturas agrícolas mistas</v>
      </c>
    </row>
    <row r="1104" spans="1:3" x14ac:dyDescent="0.25">
      <c r="A1104" t="s">
        <v>3202</v>
      </c>
      <c r="B1104" t="s">
        <v>3203</v>
      </c>
      <c r="C1104" t="str">
        <f t="shared" si="4"/>
        <v xml:space="preserve">6121 - Produtores e trabalhadores qualificados na produção animal de carne e de leite </v>
      </c>
    </row>
    <row r="1105" spans="1:3" x14ac:dyDescent="0.25">
      <c r="A1105" t="s">
        <v>3204</v>
      </c>
      <c r="B1105" t="s">
        <v>3205</v>
      </c>
      <c r="C1105" t="str">
        <f t="shared" si="4"/>
        <v xml:space="preserve">6122 - Avicultor e trabalhador qualificado da avicultura </v>
      </c>
    </row>
    <row r="1106" spans="1:3" x14ac:dyDescent="0.25">
      <c r="A1106" t="s">
        <v>3206</v>
      </c>
      <c r="B1106" t="s">
        <v>3207</v>
      </c>
      <c r="C1106" t="str">
        <f t="shared" si="4"/>
        <v>6123 - Apicultor e sericicultor</v>
      </c>
    </row>
    <row r="1107" spans="1:3" x14ac:dyDescent="0.25">
      <c r="A1107" t="s">
        <v>3208</v>
      </c>
      <c r="B1107" t="s">
        <v>3209</v>
      </c>
      <c r="C1107" t="str">
        <f t="shared" si="4"/>
        <v>6129 - Outros produtores e trabalhadores qualificados da criação animal</v>
      </c>
    </row>
    <row r="1108" spans="1:3" x14ac:dyDescent="0.25">
      <c r="A1108" t="s">
        <v>3210</v>
      </c>
      <c r="B1108" t="s">
        <v>3211</v>
      </c>
      <c r="C1108" t="str">
        <f t="shared" si="4"/>
        <v xml:space="preserve">6130 - Agricultor e trabalhador qualificado da agricultura e produção animal combinadas, orientados para o mercado </v>
      </c>
    </row>
    <row r="1109" spans="1:3" x14ac:dyDescent="0.25">
      <c r="A1109" t="s">
        <v>3212</v>
      </c>
      <c r="B1109" t="s">
        <v>3213</v>
      </c>
      <c r="C1109" t="str">
        <f t="shared" si="4"/>
        <v>6210 - Trabalhadores qualificados da floresta e similares</v>
      </c>
    </row>
    <row r="1110" spans="1:3" x14ac:dyDescent="0.25">
      <c r="A1110" t="s">
        <v>3214</v>
      </c>
      <c r="B1110" t="s">
        <v>3215</v>
      </c>
      <c r="C1110" t="str">
        <f t="shared" si="4"/>
        <v xml:space="preserve">6221 - Aquicultores (aquacultores) e trabalhadores qualificados da aquicultura </v>
      </c>
    </row>
    <row r="1111" spans="1:3" x14ac:dyDescent="0.25">
      <c r="A1111" t="s">
        <v>3216</v>
      </c>
      <c r="B1111" t="s">
        <v>3217</v>
      </c>
      <c r="C1111" t="str">
        <f t="shared" si="4"/>
        <v>6222 - Pescadores e trabalhadores qualificados da pesca em águas costeiras e interiores</v>
      </c>
    </row>
    <row r="1112" spans="1:3" x14ac:dyDescent="0.25">
      <c r="A1112" t="s">
        <v>3218</v>
      </c>
      <c r="B1112" t="s">
        <v>3219</v>
      </c>
      <c r="C1112" t="str">
        <f t="shared" si="4"/>
        <v>6223 - Pescadores e trabalhadores qualificados da pesca do largo (alto mar)</v>
      </c>
    </row>
    <row r="1113" spans="1:3" x14ac:dyDescent="0.25">
      <c r="A1113" t="s">
        <v>3220</v>
      </c>
      <c r="B1113" t="s">
        <v>3221</v>
      </c>
      <c r="C1113" t="str">
        <f t="shared" si="4"/>
        <v>6224 - Caçador qualificado (inclui com armadilhas) orientado para o mercado</v>
      </c>
    </row>
    <row r="1114" spans="1:3" x14ac:dyDescent="0.25">
      <c r="A1114" t="s">
        <v>3222</v>
      </c>
      <c r="B1114" t="s">
        <v>3223</v>
      </c>
      <c r="C1114" t="str">
        <f t="shared" si="4"/>
        <v xml:space="preserve">6310 - Agricultor de subsistência </v>
      </c>
    </row>
    <row r="1115" spans="1:3" x14ac:dyDescent="0.25">
      <c r="A1115" t="s">
        <v>3224</v>
      </c>
      <c r="B1115" t="s">
        <v>3225</v>
      </c>
      <c r="C1115" t="str">
        <f t="shared" si="4"/>
        <v>6320 - Criador de animais de subsistência</v>
      </c>
    </row>
    <row r="1116" spans="1:3" x14ac:dyDescent="0.25">
      <c r="A1116" t="s">
        <v>3226</v>
      </c>
      <c r="B1116" t="s">
        <v>3227</v>
      </c>
      <c r="C1116" t="str">
        <f t="shared" si="4"/>
        <v xml:space="preserve">6330 - Agricultor e criador de animais de produção combinada, de subsistência </v>
      </c>
    </row>
    <row r="1117" spans="1:3" x14ac:dyDescent="0.25">
      <c r="A1117" t="s">
        <v>3228</v>
      </c>
      <c r="B1117" t="s">
        <v>3229</v>
      </c>
      <c r="C1117" t="str">
        <f t="shared" si="4"/>
        <v>6340 - Pescador, caçador e colector, de subsistência</v>
      </c>
    </row>
    <row r="1118" spans="1:3" x14ac:dyDescent="0.25">
      <c r="A1118" t="s">
        <v>3230</v>
      </c>
      <c r="B1118" t="s">
        <v>3231</v>
      </c>
      <c r="C1118" t="str">
        <f t="shared" si="4"/>
        <v>7111 - Construtor de casas rudimentares</v>
      </c>
    </row>
    <row r="1119" spans="1:3" x14ac:dyDescent="0.25">
      <c r="A1119" t="s">
        <v>3232</v>
      </c>
      <c r="B1119" t="s">
        <v>3233</v>
      </c>
      <c r="C1119" t="str">
        <f t="shared" si="4"/>
        <v xml:space="preserve">7112 - Pedreiro, calceteiro e assentador de refractários </v>
      </c>
    </row>
    <row r="1120" spans="1:3" x14ac:dyDescent="0.25">
      <c r="A1120" t="s">
        <v>3234</v>
      </c>
      <c r="B1120" t="s">
        <v>3235</v>
      </c>
      <c r="C1120" t="str">
        <f t="shared" si="4"/>
        <v xml:space="preserve">7113 - Trabalhadores da pedra, canteiros e similares </v>
      </c>
    </row>
    <row r="1121" spans="1:3" x14ac:dyDescent="0.25">
      <c r="A1121" t="s">
        <v>3236</v>
      </c>
      <c r="B1121" t="s">
        <v>3237</v>
      </c>
      <c r="C1121" t="str">
        <f t="shared" si="4"/>
        <v>7114 - Trabalhadores de betão armado e similares</v>
      </c>
    </row>
    <row r="1122" spans="1:3" x14ac:dyDescent="0.25">
      <c r="A1122" t="s">
        <v>3238</v>
      </c>
      <c r="B1122" t="s">
        <v>3239</v>
      </c>
      <c r="C1122" t="str">
        <f t="shared" si="4"/>
        <v>7115 - Carpinteiros e similares</v>
      </c>
    </row>
    <row r="1123" spans="1:3" x14ac:dyDescent="0.25">
      <c r="A1123" t="s">
        <v>3240</v>
      </c>
      <c r="B1123" t="s">
        <v>3241</v>
      </c>
      <c r="C1123" t="str">
        <f t="shared" si="4"/>
        <v>7119 - Outros trabalhadores qualificados da construção das estruturas básicas e similares</v>
      </c>
    </row>
    <row r="1124" spans="1:3" x14ac:dyDescent="0.25">
      <c r="A1124" t="s">
        <v>3242</v>
      </c>
      <c r="B1124" t="s">
        <v>3243</v>
      </c>
      <c r="C1124" t="str">
        <f t="shared" si="4"/>
        <v xml:space="preserve">7121 - Colocador de telhados e de coberturas </v>
      </c>
    </row>
    <row r="1125" spans="1:3" x14ac:dyDescent="0.25">
      <c r="A1125" t="s">
        <v>3244</v>
      </c>
      <c r="B1125" t="s">
        <v>3245</v>
      </c>
      <c r="C1125" t="str">
        <f t="shared" si="4"/>
        <v>7122 - Assentadores de revestimentos e ladrilhadores</v>
      </c>
    </row>
    <row r="1126" spans="1:3" x14ac:dyDescent="0.25">
      <c r="A1126" t="s">
        <v>3246</v>
      </c>
      <c r="B1126" t="s">
        <v>3247</v>
      </c>
      <c r="C1126" t="str">
        <f t="shared" si="4"/>
        <v>7123 - Estucador</v>
      </c>
    </row>
    <row r="1127" spans="1:3" x14ac:dyDescent="0.25">
      <c r="A1127" t="s">
        <v>3248</v>
      </c>
      <c r="B1127" t="s">
        <v>3249</v>
      </c>
      <c r="C1127" t="str">
        <f t="shared" si="4"/>
        <v>7124 - Trabalhador qualificado em isolamentos acústicos e térmicos</v>
      </c>
    </row>
    <row r="1128" spans="1:3" x14ac:dyDescent="0.25">
      <c r="A1128" t="s">
        <v>3250</v>
      </c>
      <c r="B1128" t="s">
        <v>3251</v>
      </c>
      <c r="C1128" t="str">
        <f t="shared" si="4"/>
        <v xml:space="preserve">7125 - Vidraceiro </v>
      </c>
    </row>
    <row r="1129" spans="1:3" x14ac:dyDescent="0.25">
      <c r="A1129" t="s">
        <v>3252</v>
      </c>
      <c r="B1129" t="s">
        <v>3253</v>
      </c>
      <c r="C1129" t="str">
        <f t="shared" si="4"/>
        <v>7126 - Canalizador e montador de tubagens</v>
      </c>
    </row>
    <row r="1130" spans="1:3" x14ac:dyDescent="0.25">
      <c r="A1130" t="s">
        <v>3254</v>
      </c>
      <c r="B1130" t="s">
        <v>3255</v>
      </c>
      <c r="C1130" t="str">
        <f t="shared" si="4"/>
        <v>7127 - Instalador de ar condicionado e de sistemas de refrigeração</v>
      </c>
    </row>
    <row r="1131" spans="1:3" x14ac:dyDescent="0.25">
      <c r="A1131" t="s">
        <v>3256</v>
      </c>
      <c r="B1131" t="s">
        <v>3257</v>
      </c>
      <c r="C1131" t="str">
        <f t="shared" si="4"/>
        <v>7131 - Pintores de construções e trabalhadores similares</v>
      </c>
    </row>
    <row r="1132" spans="1:3" x14ac:dyDescent="0.25">
      <c r="A1132" t="s">
        <v>3258</v>
      </c>
      <c r="B1132" t="s">
        <v>3259</v>
      </c>
      <c r="C1132" t="str">
        <f t="shared" si="4"/>
        <v>7132 - Pintores à pistola e envernizadores</v>
      </c>
    </row>
    <row r="1133" spans="1:3" x14ac:dyDescent="0.25">
      <c r="A1133" t="s">
        <v>3260</v>
      </c>
      <c r="B1133" t="s">
        <v>3261</v>
      </c>
      <c r="C1133" t="str">
        <f t="shared" si="4"/>
        <v>7133 - Limpadores de fachadas e de outras estruturas de edifícios</v>
      </c>
    </row>
    <row r="1134" spans="1:3" x14ac:dyDescent="0.25">
      <c r="A1134" t="s">
        <v>3262</v>
      </c>
      <c r="B1134" t="s">
        <v>3263</v>
      </c>
      <c r="C1134" t="str">
        <f t="shared" si="4"/>
        <v>7211 - Operador de fundição</v>
      </c>
    </row>
    <row r="1135" spans="1:3" x14ac:dyDescent="0.25">
      <c r="A1135" t="s">
        <v>3264</v>
      </c>
      <c r="B1135" t="s">
        <v>3265</v>
      </c>
      <c r="C1135" t="str">
        <f t="shared" si="4"/>
        <v>7212 - Soldadores e trabalhadores de corte a oxi-gás</v>
      </c>
    </row>
    <row r="1136" spans="1:3" x14ac:dyDescent="0.25">
      <c r="A1136" t="s">
        <v>3266</v>
      </c>
      <c r="B1136" t="s">
        <v>3267</v>
      </c>
      <c r="C1136" t="str">
        <f t="shared" ref="C1136:C1199" si="5">CONCATENATE(A1136, " - ",B1136)</f>
        <v>7213 - Trabalhadores de chapas metálicas</v>
      </c>
    </row>
    <row r="1137" spans="1:3" x14ac:dyDescent="0.25">
      <c r="A1137" t="s">
        <v>3268</v>
      </c>
      <c r="B1137" t="s">
        <v>3269</v>
      </c>
      <c r="C1137" t="str">
        <f t="shared" si="5"/>
        <v>7214 - Preparador e montador de estruturas metálicas</v>
      </c>
    </row>
    <row r="1138" spans="1:3" x14ac:dyDescent="0.25">
      <c r="A1138" t="s">
        <v>3270</v>
      </c>
      <c r="B1138" t="s">
        <v>3271</v>
      </c>
      <c r="C1138" t="str">
        <f t="shared" si="5"/>
        <v>7215 - Armador e montador de cabos metálicos</v>
      </c>
    </row>
    <row r="1139" spans="1:3" x14ac:dyDescent="0.25">
      <c r="A1139" t="s">
        <v>3272</v>
      </c>
      <c r="B1139" t="s">
        <v>3273</v>
      </c>
      <c r="C1139" t="str">
        <f t="shared" si="5"/>
        <v>7221 - Forjadores, ferreiros, operadores de prensas de forjar, estampadores e similares</v>
      </c>
    </row>
    <row r="1140" spans="1:3" x14ac:dyDescent="0.25">
      <c r="A1140" t="s">
        <v>3274</v>
      </c>
      <c r="B1140" t="s">
        <v>3275</v>
      </c>
      <c r="C1140" t="str">
        <f t="shared" si="5"/>
        <v xml:space="preserve">7222 - Serralheiro de moldes, cunhos, cortantes e similares </v>
      </c>
    </row>
    <row r="1141" spans="1:3" x14ac:dyDescent="0.25">
      <c r="A1141" t="s">
        <v>3276</v>
      </c>
      <c r="B1141" t="s">
        <v>3277</v>
      </c>
      <c r="C1141" t="str">
        <f t="shared" si="5"/>
        <v>7223 - Reguladores e operadores de máquinas-ferramentas para trabalhar metais</v>
      </c>
    </row>
    <row r="1142" spans="1:3" x14ac:dyDescent="0.25">
      <c r="A1142" t="s">
        <v>3278</v>
      </c>
      <c r="B1142" t="s">
        <v>3279</v>
      </c>
      <c r="C1142" t="str">
        <f t="shared" si="5"/>
        <v xml:space="preserve">7224 - Rectificador de rodas, polidor e afiador de metais </v>
      </c>
    </row>
    <row r="1143" spans="1:3" x14ac:dyDescent="0.25">
      <c r="A1143" t="s">
        <v>3280</v>
      </c>
      <c r="B1143" t="s">
        <v>3281</v>
      </c>
      <c r="C1143" t="str">
        <f t="shared" si="5"/>
        <v>7231 - Mecânico e reparador de veículos automóveis</v>
      </c>
    </row>
    <row r="1144" spans="1:3" x14ac:dyDescent="0.25">
      <c r="A1144" t="s">
        <v>3282</v>
      </c>
      <c r="B1144" t="s">
        <v>3283</v>
      </c>
      <c r="C1144" t="str">
        <f t="shared" si="5"/>
        <v xml:space="preserve">7232 - Técnico de manutenção e reparação de motores de avião </v>
      </c>
    </row>
    <row r="1145" spans="1:3" x14ac:dyDescent="0.25">
      <c r="A1145" t="s">
        <v>3284</v>
      </c>
      <c r="B1145" t="s">
        <v>3285</v>
      </c>
      <c r="C1145" t="str">
        <f t="shared" si="5"/>
        <v xml:space="preserve">7233 - Mecânico e reparador, de máquinas agrícolas e industriais </v>
      </c>
    </row>
    <row r="1146" spans="1:3" x14ac:dyDescent="0.25">
      <c r="A1146" t="s">
        <v>3286</v>
      </c>
      <c r="B1146" t="s">
        <v>3287</v>
      </c>
      <c r="C1146" t="str">
        <f t="shared" si="5"/>
        <v>7234 - Reparador de bicicletas e similares</v>
      </c>
    </row>
    <row r="1147" spans="1:3" x14ac:dyDescent="0.25">
      <c r="A1147" t="s">
        <v>3288</v>
      </c>
      <c r="B1147" t="s">
        <v>3289</v>
      </c>
      <c r="C1147" t="str">
        <f t="shared" si="5"/>
        <v>7311 - Trabalhador qualificado do fabrico e reparação de instrumentos de precisão</v>
      </c>
    </row>
    <row r="1148" spans="1:3" x14ac:dyDescent="0.25">
      <c r="A1148" t="s">
        <v>3290</v>
      </c>
      <c r="B1148" t="s">
        <v>3291</v>
      </c>
      <c r="C1148" t="str">
        <f t="shared" si="5"/>
        <v>7312 - Trabalhador qualificado do fabrico e afinação de instrumentos musicais</v>
      </c>
    </row>
    <row r="1149" spans="1:3" x14ac:dyDescent="0.25">
      <c r="A1149" t="s">
        <v>3292</v>
      </c>
      <c r="B1149" t="s">
        <v>3293</v>
      </c>
      <c r="C1149" t="str">
        <f t="shared" si="5"/>
        <v>7313 - Joalheiros, ourives e trabalhadores de diamantes industriais</v>
      </c>
    </row>
    <row r="1150" spans="1:3" x14ac:dyDescent="0.25">
      <c r="A1150" t="s">
        <v>3294</v>
      </c>
      <c r="B1150" t="s">
        <v>3295</v>
      </c>
      <c r="C1150" t="str">
        <f t="shared" si="5"/>
        <v xml:space="preserve">7314 - Oleiros e similares </v>
      </c>
    </row>
    <row r="1151" spans="1:3" x14ac:dyDescent="0.25">
      <c r="A1151" t="s">
        <v>3296</v>
      </c>
      <c r="B1151" t="s">
        <v>3297</v>
      </c>
      <c r="C1151" t="str">
        <f t="shared" si="5"/>
        <v xml:space="preserve">7315 - Sopradores, cortadores, polidores e acabadores, de vidro </v>
      </c>
    </row>
    <row r="1152" spans="1:3" x14ac:dyDescent="0.25">
      <c r="A1152" t="s">
        <v>3298</v>
      </c>
      <c r="B1152" t="s">
        <v>3299</v>
      </c>
      <c r="C1152" t="str">
        <f t="shared" si="5"/>
        <v xml:space="preserve">7316 - Lapidadores, gravadores e pintores-decoradores, de vidro, cerâmica e outros materiais </v>
      </c>
    </row>
    <row r="1153" spans="1:3" x14ac:dyDescent="0.25">
      <c r="A1153" t="s">
        <v>3300</v>
      </c>
      <c r="B1153" t="s">
        <v>3301</v>
      </c>
      <c r="C1153" t="str">
        <f t="shared" si="5"/>
        <v xml:space="preserve">7317 - Artesãos de artigos em madeira, cestaria e materiais similares                                                                                                                                                                                                 </v>
      </c>
    </row>
    <row r="1154" spans="1:3" x14ac:dyDescent="0.25">
      <c r="A1154" t="s">
        <v>3302</v>
      </c>
      <c r="B1154" t="s">
        <v>3303</v>
      </c>
      <c r="C1154" t="str">
        <f t="shared" si="5"/>
        <v xml:space="preserve">7318 - Trabalhadores manuais de artigos têxteis, couro e materiais similares </v>
      </c>
    </row>
    <row r="1155" spans="1:3" x14ac:dyDescent="0.25">
      <c r="A1155" t="s">
        <v>3304</v>
      </c>
      <c r="B1155" t="s">
        <v>3305</v>
      </c>
      <c r="C1155" t="str">
        <f t="shared" si="5"/>
        <v>7319 - Outros trabalhadores qualificados do fabrico de instrumentos de precisão, artesãos e similares</v>
      </c>
    </row>
    <row r="1156" spans="1:3" x14ac:dyDescent="0.25">
      <c r="A1156" t="s">
        <v>3306</v>
      </c>
      <c r="B1156" t="s">
        <v>3307</v>
      </c>
      <c r="C1156" t="str">
        <f t="shared" si="5"/>
        <v>7321 - Operador de pré-impressão</v>
      </c>
    </row>
    <row r="1157" spans="1:3" x14ac:dyDescent="0.25">
      <c r="A1157" t="s">
        <v>3308</v>
      </c>
      <c r="B1157" t="s">
        <v>3309</v>
      </c>
      <c r="C1157" t="str">
        <f t="shared" si="5"/>
        <v>7322 - Serígrafo e outros operadores de impressão</v>
      </c>
    </row>
    <row r="1158" spans="1:3" x14ac:dyDescent="0.25">
      <c r="A1158" t="s">
        <v>3310</v>
      </c>
      <c r="B1158" t="s">
        <v>3311</v>
      </c>
      <c r="C1158" t="str">
        <f t="shared" si="5"/>
        <v>7323 - Encadernadores e similares</v>
      </c>
    </row>
    <row r="1159" spans="1:3" x14ac:dyDescent="0.25">
      <c r="A1159" t="s">
        <v>3312</v>
      </c>
      <c r="B1159" t="s">
        <v>3313</v>
      </c>
      <c r="C1159" t="str">
        <f t="shared" si="5"/>
        <v xml:space="preserve">7411 - Electricista de construções e similares </v>
      </c>
    </row>
    <row r="1160" spans="1:3" x14ac:dyDescent="0.25">
      <c r="A1160" t="s">
        <v>3314</v>
      </c>
      <c r="B1160" t="s">
        <v>3315</v>
      </c>
      <c r="C1160" t="str">
        <f t="shared" si="5"/>
        <v xml:space="preserve">7412 - Electromecânico, electricista e instalador de máquinas e equipamentos eléctricos </v>
      </c>
    </row>
    <row r="1161" spans="1:3" x14ac:dyDescent="0.25">
      <c r="A1161" t="s">
        <v>3316</v>
      </c>
      <c r="B1161" t="s">
        <v>3317</v>
      </c>
      <c r="C1161" t="str">
        <f t="shared" si="5"/>
        <v>7413 - Instalador e reparador de linhas eléctricas</v>
      </c>
    </row>
    <row r="1162" spans="1:3" x14ac:dyDescent="0.25">
      <c r="A1162" t="s">
        <v>3318</v>
      </c>
      <c r="B1162" t="s">
        <v>3319</v>
      </c>
      <c r="C1162" t="str">
        <f t="shared" si="5"/>
        <v xml:space="preserve">7421 - Mecânico e reparador de equipamentos electrónicos </v>
      </c>
    </row>
    <row r="1163" spans="1:3" x14ac:dyDescent="0.25">
      <c r="A1163" t="s">
        <v>3320</v>
      </c>
      <c r="B1163" t="s">
        <v>3321</v>
      </c>
      <c r="C1163" t="str">
        <f t="shared" si="5"/>
        <v xml:space="preserve">7422 - Instalador e reparador, de tecnologias de informação e comunicação  </v>
      </c>
    </row>
    <row r="1164" spans="1:3" x14ac:dyDescent="0.25">
      <c r="A1164" t="s">
        <v>3322</v>
      </c>
      <c r="B1164" t="s">
        <v>3323</v>
      </c>
      <c r="C1164" t="str">
        <f t="shared" si="5"/>
        <v>7511 - Preparadores de carne, peixe e similares</v>
      </c>
    </row>
    <row r="1165" spans="1:3" x14ac:dyDescent="0.25">
      <c r="A1165" t="s">
        <v>3324</v>
      </c>
      <c r="B1165" t="s">
        <v>3325</v>
      </c>
      <c r="C1165" t="str">
        <f t="shared" si="5"/>
        <v>7512 - Padeiros, pasteleiros e confeiteiros</v>
      </c>
    </row>
    <row r="1166" spans="1:3" x14ac:dyDescent="0.25">
      <c r="A1166" t="s">
        <v>3326</v>
      </c>
      <c r="B1166" t="s">
        <v>3327</v>
      </c>
      <c r="C1166" t="str">
        <f t="shared" si="5"/>
        <v xml:space="preserve">7513 - Trabalhador do fabrico de produtos lácteos </v>
      </c>
    </row>
    <row r="1167" spans="1:3" x14ac:dyDescent="0.25">
      <c r="A1167" t="s">
        <v>3328</v>
      </c>
      <c r="B1167" t="s">
        <v>3329</v>
      </c>
      <c r="C1167" t="str">
        <f t="shared" si="5"/>
        <v>7514 - Conserveiro de frutas, legumes e similares</v>
      </c>
    </row>
    <row r="1168" spans="1:3" x14ac:dyDescent="0.25">
      <c r="A1168" t="s">
        <v>3330</v>
      </c>
      <c r="B1168" t="s">
        <v>3331</v>
      </c>
      <c r="C1168" t="str">
        <f t="shared" si="5"/>
        <v>7515 - Provadores e classificadores, de alimentos e bebidas</v>
      </c>
    </row>
    <row r="1169" spans="1:3" x14ac:dyDescent="0.25">
      <c r="A1169" t="s">
        <v>3332</v>
      </c>
      <c r="B1169" t="s">
        <v>3333</v>
      </c>
      <c r="C1169" t="str">
        <f t="shared" si="5"/>
        <v xml:space="preserve">7516 - Preparador e transformador, de tabaco e seus produtos </v>
      </c>
    </row>
    <row r="1170" spans="1:3" x14ac:dyDescent="0.25">
      <c r="A1170" t="s">
        <v>3334</v>
      </c>
      <c r="B1170" t="s">
        <v>3335</v>
      </c>
      <c r="C1170" t="str">
        <f t="shared" si="5"/>
        <v>7521 - Trabalhadores do tratamento da madeira e cortiça</v>
      </c>
    </row>
    <row r="1171" spans="1:3" x14ac:dyDescent="0.25">
      <c r="A1171" t="s">
        <v>3336</v>
      </c>
      <c r="B1171" t="s">
        <v>3337</v>
      </c>
      <c r="C1171" t="str">
        <f t="shared" si="5"/>
        <v xml:space="preserve">7522 - Marceneiros e similares </v>
      </c>
    </row>
    <row r="1172" spans="1:3" x14ac:dyDescent="0.25">
      <c r="A1172" t="s">
        <v>3338</v>
      </c>
      <c r="B1172" t="s">
        <v>3339</v>
      </c>
      <c r="C1172" t="str">
        <f t="shared" si="5"/>
        <v>7523 - Operador de máquinas e de equipamentos para trabalhar madeira e cortiça</v>
      </c>
    </row>
    <row r="1173" spans="1:3" x14ac:dyDescent="0.25">
      <c r="A1173" t="s">
        <v>3340</v>
      </c>
      <c r="B1173" t="s">
        <v>3341</v>
      </c>
      <c r="C1173" t="str">
        <f t="shared" si="5"/>
        <v xml:space="preserve">7531 - Alfaiates, costureiros, peleiros e chapeleiros   </v>
      </c>
    </row>
    <row r="1174" spans="1:3" x14ac:dyDescent="0.25">
      <c r="A1174" t="s">
        <v>3342</v>
      </c>
      <c r="B1174" t="s">
        <v>3343</v>
      </c>
      <c r="C1174" t="str">
        <f t="shared" si="5"/>
        <v xml:space="preserve">7532 - Riscador de moldes e cortadores, de tecido, couro e similares </v>
      </c>
    </row>
    <row r="1175" spans="1:3" x14ac:dyDescent="0.25">
      <c r="A1175" t="s">
        <v>3344</v>
      </c>
      <c r="B1175" t="s">
        <v>3345</v>
      </c>
      <c r="C1175" t="str">
        <f t="shared" si="5"/>
        <v xml:space="preserve">7533 - Trabalhadores de costura, bordados e similares </v>
      </c>
    </row>
    <row r="1176" spans="1:3" x14ac:dyDescent="0.25">
      <c r="A1176" t="s">
        <v>3346</v>
      </c>
      <c r="B1176" t="s">
        <v>3347</v>
      </c>
      <c r="C1176" t="str">
        <f t="shared" si="5"/>
        <v>7534 - Estofadores e similares</v>
      </c>
    </row>
    <row r="1177" spans="1:3" x14ac:dyDescent="0.25">
      <c r="A1177" t="s">
        <v>3348</v>
      </c>
      <c r="B1177" t="s">
        <v>3349</v>
      </c>
      <c r="C1177" t="str">
        <f t="shared" si="5"/>
        <v xml:space="preserve">7535 - Curtidores, preparadores e acabadores, de peles </v>
      </c>
    </row>
    <row r="1178" spans="1:3" x14ac:dyDescent="0.25">
      <c r="A1178" t="s">
        <v>3350</v>
      </c>
      <c r="B1178" t="s">
        <v>3351</v>
      </c>
      <c r="C1178" t="str">
        <f t="shared" si="5"/>
        <v>7536 - Sapateiros e similares</v>
      </c>
    </row>
    <row r="1179" spans="1:3" x14ac:dyDescent="0.25">
      <c r="A1179" t="s">
        <v>3352</v>
      </c>
      <c r="B1179" t="s">
        <v>3353</v>
      </c>
      <c r="C1179" t="str">
        <f t="shared" si="5"/>
        <v xml:space="preserve">7541 - Mergulhador </v>
      </c>
    </row>
    <row r="1180" spans="1:3" x14ac:dyDescent="0.25">
      <c r="A1180" t="s">
        <v>3354</v>
      </c>
      <c r="B1180" t="s">
        <v>3355</v>
      </c>
      <c r="C1180" t="str">
        <f t="shared" si="5"/>
        <v xml:space="preserve">7542 - Carregador de fogo e dinamitador </v>
      </c>
    </row>
    <row r="1181" spans="1:3" x14ac:dyDescent="0.25">
      <c r="A1181" t="s">
        <v>3356</v>
      </c>
      <c r="B1181" t="s">
        <v>3357</v>
      </c>
      <c r="C1181" t="str">
        <f t="shared" si="5"/>
        <v>7543 - Calibrador e verificador de produtos (excepto alimentos e bebidas)</v>
      </c>
    </row>
    <row r="1182" spans="1:3" x14ac:dyDescent="0.25">
      <c r="A1182" t="s">
        <v>3358</v>
      </c>
      <c r="B1182" t="s">
        <v>3359</v>
      </c>
      <c r="C1182" t="str">
        <f t="shared" si="5"/>
        <v>7544 - Fumigador e outros controladores, de pragas e ervas daninhas</v>
      </c>
    </row>
    <row r="1183" spans="1:3" x14ac:dyDescent="0.25">
      <c r="A1183" t="s">
        <v>3360</v>
      </c>
      <c r="B1183" t="s">
        <v>3361</v>
      </c>
      <c r="C1183" t="str">
        <f t="shared" si="5"/>
        <v>7549 - Trabalhador de outros ofícios, n.e.</v>
      </c>
    </row>
    <row r="1184" spans="1:3" x14ac:dyDescent="0.25">
      <c r="A1184" t="s">
        <v>3362</v>
      </c>
      <c r="B1184" t="s">
        <v>3363</v>
      </c>
      <c r="C1184" t="str">
        <f t="shared" si="5"/>
        <v xml:space="preserve">8111 - Mineiros e trabalhadores das pedreiras </v>
      </c>
    </row>
    <row r="1185" spans="1:3" x14ac:dyDescent="0.25">
      <c r="A1185" t="s">
        <v>3364</v>
      </c>
      <c r="B1185" t="s">
        <v>3365</v>
      </c>
      <c r="C1185" t="str">
        <f t="shared" si="5"/>
        <v>8112 - Operadores de instalações de processamento de minérios e rochas</v>
      </c>
    </row>
    <row r="1186" spans="1:3" x14ac:dyDescent="0.25">
      <c r="A1186" t="s">
        <v>3366</v>
      </c>
      <c r="B1186" t="s">
        <v>3367</v>
      </c>
      <c r="C1186" t="str">
        <f t="shared" si="5"/>
        <v>8113 - Perfurador de poços, sondador e similares</v>
      </c>
    </row>
    <row r="1187" spans="1:3" x14ac:dyDescent="0.25">
      <c r="A1187" t="s">
        <v>3368</v>
      </c>
      <c r="B1187" t="s">
        <v>3369</v>
      </c>
      <c r="C1187" t="str">
        <f t="shared" si="5"/>
        <v>8114 - Operadores de máquinas para trabalhar cimento, pedra e outros minerais</v>
      </c>
    </row>
    <row r="1188" spans="1:3" x14ac:dyDescent="0.25">
      <c r="A1188" t="s">
        <v>3370</v>
      </c>
      <c r="B1188" t="s">
        <v>3371</v>
      </c>
      <c r="C1188" t="str">
        <f t="shared" si="5"/>
        <v xml:space="preserve">8121 - Operadores de instalações de transformação de metais </v>
      </c>
    </row>
    <row r="1189" spans="1:3" x14ac:dyDescent="0.25">
      <c r="A1189" t="s">
        <v>3372</v>
      </c>
      <c r="B1189" t="s">
        <v>3373</v>
      </c>
      <c r="C1189" t="str">
        <f t="shared" si="5"/>
        <v>8122 - Operador de máquinas de revestimento, metalização e acabamento de metais</v>
      </c>
    </row>
    <row r="1190" spans="1:3" x14ac:dyDescent="0.25">
      <c r="A1190" t="s">
        <v>3374</v>
      </c>
      <c r="B1190" t="s">
        <v>3375</v>
      </c>
      <c r="C1190" t="str">
        <f t="shared" si="5"/>
        <v xml:space="preserve">8131 - Operadores de instalações e máquinas do fabrico de produtos químicos </v>
      </c>
    </row>
    <row r="1191" spans="1:3" x14ac:dyDescent="0.25">
      <c r="A1191" t="s">
        <v>3376</v>
      </c>
      <c r="B1191" t="s">
        <v>3377</v>
      </c>
      <c r="C1191" t="str">
        <f t="shared" si="5"/>
        <v xml:space="preserve">8132 - Operador de máquinas para o fabrico de produtos fotográficos </v>
      </c>
    </row>
    <row r="1192" spans="1:3" x14ac:dyDescent="0.25">
      <c r="A1192" t="s">
        <v>3378</v>
      </c>
      <c r="B1192" t="s">
        <v>3379</v>
      </c>
      <c r="C1192" t="str">
        <f t="shared" si="5"/>
        <v>8141 - Operador de máquinas para o fabrico de produtos de borracha</v>
      </c>
    </row>
    <row r="1193" spans="1:3" x14ac:dyDescent="0.25">
      <c r="A1193" t="s">
        <v>3380</v>
      </c>
      <c r="B1193" t="s">
        <v>3381</v>
      </c>
      <c r="C1193" t="str">
        <f t="shared" si="5"/>
        <v>8142 - Operador de máquinas para o fabrico de produtos de matérias plásticas</v>
      </c>
    </row>
    <row r="1194" spans="1:3" x14ac:dyDescent="0.25">
      <c r="A1194" t="s">
        <v>3382</v>
      </c>
      <c r="B1194" t="s">
        <v>3383</v>
      </c>
      <c r="C1194" t="str">
        <f t="shared" si="5"/>
        <v>8143 - Operador de máquinas para o fabrico de produtos de papel</v>
      </c>
    </row>
    <row r="1195" spans="1:3" x14ac:dyDescent="0.25">
      <c r="A1195" t="s">
        <v>3384</v>
      </c>
      <c r="B1195" t="s">
        <v>3385</v>
      </c>
      <c r="C1195" t="str">
        <f t="shared" si="5"/>
        <v xml:space="preserve">8151 - Operador de máquinas para preparar, fiar e bobinar, fibras têxteis </v>
      </c>
    </row>
    <row r="1196" spans="1:3" x14ac:dyDescent="0.25">
      <c r="A1196" t="s">
        <v>3386</v>
      </c>
      <c r="B1196" t="s">
        <v>3387</v>
      </c>
      <c r="C1196" t="str">
        <f t="shared" si="5"/>
        <v xml:space="preserve">8152 - Operador de máquinas de tecer e tricotar </v>
      </c>
    </row>
    <row r="1197" spans="1:3" x14ac:dyDescent="0.25">
      <c r="A1197" t="s">
        <v>3388</v>
      </c>
      <c r="B1197" t="s">
        <v>3389</v>
      </c>
      <c r="C1197" t="str">
        <f t="shared" si="5"/>
        <v>8153 - Operador de máquinas de costura</v>
      </c>
    </row>
    <row r="1198" spans="1:3" x14ac:dyDescent="0.25">
      <c r="A1198" t="s">
        <v>3390</v>
      </c>
      <c r="B1198" t="s">
        <v>3391</v>
      </c>
      <c r="C1198" t="str">
        <f t="shared" si="5"/>
        <v>8154 - Operador de máquinas de branquear, tingir e limpar, tecidos e outros têxteis</v>
      </c>
    </row>
    <row r="1199" spans="1:3" x14ac:dyDescent="0.25">
      <c r="A1199" t="s">
        <v>3392</v>
      </c>
      <c r="B1199" t="s">
        <v>3393</v>
      </c>
      <c r="C1199" t="str">
        <f t="shared" si="5"/>
        <v>8155 - Operador de máquinas para preparar peles com pêlo e couro</v>
      </c>
    </row>
    <row r="1200" spans="1:3" x14ac:dyDescent="0.25">
      <c r="A1200" t="s">
        <v>3394</v>
      </c>
      <c r="B1200" t="s">
        <v>3395</v>
      </c>
      <c r="C1200" t="str">
        <f t="shared" ref="C1200:C1256" si="6">CONCATENATE(A1200, " - ",B1200)</f>
        <v>8156 - Operador de máquinas de fabrico de calçado e similares</v>
      </c>
    </row>
    <row r="1201" spans="1:3" x14ac:dyDescent="0.25">
      <c r="A1201" t="s">
        <v>3396</v>
      </c>
      <c r="B1201" t="s">
        <v>3397</v>
      </c>
      <c r="C1201" t="str">
        <f t="shared" si="6"/>
        <v xml:space="preserve">8157 - Operador de máquinas de lavandaria </v>
      </c>
    </row>
    <row r="1202" spans="1:3" x14ac:dyDescent="0.25">
      <c r="A1202" t="s">
        <v>3398</v>
      </c>
      <c r="B1202" t="s">
        <v>3399</v>
      </c>
      <c r="C1202" t="str">
        <f t="shared" si="6"/>
        <v>8159 - Outros operadores de máquinas para o fabrico de produtos têxteis, de pele com pêlo e couro</v>
      </c>
    </row>
    <row r="1203" spans="1:3" x14ac:dyDescent="0.25">
      <c r="A1203" t="s">
        <v>3400</v>
      </c>
      <c r="B1203" t="s">
        <v>3401</v>
      </c>
      <c r="C1203" t="str">
        <f t="shared" si="6"/>
        <v xml:space="preserve">8160 - Operadores de máquinas do fabrico de produtos alimentares e similares  </v>
      </c>
    </row>
    <row r="1204" spans="1:3" x14ac:dyDescent="0.25">
      <c r="A1204" t="s">
        <v>3402</v>
      </c>
      <c r="B1204" t="s">
        <v>3403</v>
      </c>
      <c r="C1204" t="str">
        <f t="shared" si="6"/>
        <v xml:space="preserve">8171 - Operador de instalações para o fabrico de pasta de papel e de papel </v>
      </c>
    </row>
    <row r="1205" spans="1:3" x14ac:dyDescent="0.25">
      <c r="A1205" t="s">
        <v>3404</v>
      </c>
      <c r="B1205" t="s">
        <v>3405</v>
      </c>
      <c r="C1205" t="str">
        <f t="shared" si="6"/>
        <v>8172 - Operador de instalações para o trabalho da madeira e cortiça</v>
      </c>
    </row>
    <row r="1206" spans="1:3" x14ac:dyDescent="0.25">
      <c r="A1206" t="s">
        <v>3406</v>
      </c>
      <c r="B1206" t="s">
        <v>3407</v>
      </c>
      <c r="C1206" t="str">
        <f t="shared" si="6"/>
        <v xml:space="preserve">8181 - Operadores de instalações do fabrico de vidro e produtos cerâmicos </v>
      </c>
    </row>
    <row r="1207" spans="1:3" x14ac:dyDescent="0.25">
      <c r="A1207" t="s">
        <v>3408</v>
      </c>
      <c r="B1207" t="s">
        <v>3409</v>
      </c>
      <c r="C1207" t="str">
        <f t="shared" si="6"/>
        <v>8182 - Operador de máquinas a vapor e caldeiras</v>
      </c>
    </row>
    <row r="1208" spans="1:3" x14ac:dyDescent="0.25">
      <c r="A1208" t="s">
        <v>3410</v>
      </c>
      <c r="B1208" t="s">
        <v>3411</v>
      </c>
      <c r="C1208" t="str">
        <f t="shared" si="6"/>
        <v>8183 - Operador de máquinas de embalar, encher e rotular</v>
      </c>
    </row>
    <row r="1209" spans="1:3" x14ac:dyDescent="0.25">
      <c r="A1209" t="s">
        <v>3412</v>
      </c>
      <c r="B1209" t="s">
        <v>3413</v>
      </c>
      <c r="C1209" t="str">
        <f t="shared" si="6"/>
        <v>8189 - Outros operadores de instalações fixas e de máquinas, n.e.</v>
      </c>
    </row>
    <row r="1210" spans="1:3" x14ac:dyDescent="0.25">
      <c r="A1210" t="s">
        <v>3414</v>
      </c>
      <c r="B1210" t="s">
        <v>3415</v>
      </c>
      <c r="C1210" t="str">
        <f t="shared" si="6"/>
        <v>8211 - Montador de maquinaria mecânica</v>
      </c>
    </row>
    <row r="1211" spans="1:3" x14ac:dyDescent="0.25">
      <c r="A1211" t="s">
        <v>3416</v>
      </c>
      <c r="B1211" t="s">
        <v>3417</v>
      </c>
      <c r="C1211" t="str">
        <f t="shared" si="6"/>
        <v>8212 - Montador de equipamentos eléctricos e electrónicos</v>
      </c>
    </row>
    <row r="1212" spans="1:3" x14ac:dyDescent="0.25">
      <c r="A1212" t="s">
        <v>3418</v>
      </c>
      <c r="B1212" t="s">
        <v>3419</v>
      </c>
      <c r="C1212" t="str">
        <f t="shared" si="6"/>
        <v xml:space="preserve">8219 - Outros trabalhadores da montagem </v>
      </c>
    </row>
    <row r="1213" spans="1:3" x14ac:dyDescent="0.25">
      <c r="A1213" t="s">
        <v>3420</v>
      </c>
      <c r="B1213" t="s">
        <v>3421</v>
      </c>
      <c r="C1213" t="str">
        <f t="shared" si="6"/>
        <v>8311 - Maquinista de locomotivas</v>
      </c>
    </row>
    <row r="1214" spans="1:3" x14ac:dyDescent="0.25">
      <c r="A1214" t="s">
        <v>3422</v>
      </c>
      <c r="B1214" t="s">
        <v>3423</v>
      </c>
      <c r="C1214" t="str">
        <f t="shared" si="6"/>
        <v>8312 - Guarda-freios, agulheiro e agente de manobras de caminhos-de-ferro</v>
      </c>
    </row>
    <row r="1215" spans="1:3" x14ac:dyDescent="0.25">
      <c r="A1215" t="s">
        <v>3424</v>
      </c>
      <c r="B1215" t="s">
        <v>3425</v>
      </c>
      <c r="C1215" t="str">
        <f t="shared" si="6"/>
        <v>8321 - Condutor de motociclos</v>
      </c>
    </row>
    <row r="1216" spans="1:3" x14ac:dyDescent="0.25">
      <c r="A1216" t="s">
        <v>3426</v>
      </c>
      <c r="B1216" t="s">
        <v>3427</v>
      </c>
      <c r="C1216" t="str">
        <f t="shared" si="6"/>
        <v xml:space="preserve">8322 - Motoristas de automóveis ligeiros, táxis e carrinhas </v>
      </c>
    </row>
    <row r="1217" spans="1:3" x14ac:dyDescent="0.25">
      <c r="A1217" t="s">
        <v>3428</v>
      </c>
      <c r="B1217" t="s">
        <v>3429</v>
      </c>
      <c r="C1217" t="str">
        <f t="shared" si="6"/>
        <v xml:space="preserve">8331 - Motoristas de autocarros e guarda-freios de eléctricos </v>
      </c>
    </row>
    <row r="1218" spans="1:3" x14ac:dyDescent="0.25">
      <c r="A1218" t="s">
        <v>3430</v>
      </c>
      <c r="B1218" t="s">
        <v>3431</v>
      </c>
      <c r="C1218" t="str">
        <f t="shared" si="6"/>
        <v>8332 - Motorista de veículos pesados de mercadorias</v>
      </c>
    </row>
    <row r="1219" spans="1:3" x14ac:dyDescent="0.25">
      <c r="A1219" t="s">
        <v>3432</v>
      </c>
      <c r="B1219" t="s">
        <v>3433</v>
      </c>
      <c r="C1219" t="str">
        <f t="shared" si="6"/>
        <v>8341 - Operador de máquinas agrícolas e florestais, móveis</v>
      </c>
    </row>
    <row r="1220" spans="1:3" x14ac:dyDescent="0.25">
      <c r="A1220" t="s">
        <v>3434</v>
      </c>
      <c r="B1220" t="s">
        <v>3435</v>
      </c>
      <c r="C1220" t="str">
        <f t="shared" si="6"/>
        <v>8342 - Operador de máquinas de escavação, terraplenagem e similares</v>
      </c>
    </row>
    <row r="1221" spans="1:3" x14ac:dyDescent="0.25">
      <c r="A1221" t="s">
        <v>3436</v>
      </c>
      <c r="B1221" t="s">
        <v>3437</v>
      </c>
      <c r="C1221" t="str">
        <f t="shared" si="6"/>
        <v>8343 - Operador de gruas, guindastes e similares</v>
      </c>
    </row>
    <row r="1222" spans="1:3" x14ac:dyDescent="0.25">
      <c r="A1222" t="s">
        <v>3438</v>
      </c>
      <c r="B1222" t="s">
        <v>3439</v>
      </c>
      <c r="C1222" t="str">
        <f t="shared" si="6"/>
        <v xml:space="preserve">8344 - Operador de empilhadores </v>
      </c>
    </row>
    <row r="1223" spans="1:3" x14ac:dyDescent="0.25">
      <c r="A1223" t="s">
        <v>3440</v>
      </c>
      <c r="B1223" t="s">
        <v>3441</v>
      </c>
      <c r="C1223" t="str">
        <f t="shared" si="6"/>
        <v xml:space="preserve">8350 - Tripulação de convés de navios e similares </v>
      </c>
    </row>
    <row r="1224" spans="1:3" x14ac:dyDescent="0.25">
      <c r="A1224" t="s">
        <v>3442</v>
      </c>
      <c r="B1224" t="s">
        <v>3443</v>
      </c>
      <c r="C1224" t="str">
        <f t="shared" si="6"/>
        <v>9111 - Trabalhador de limpeza em casas particulares</v>
      </c>
    </row>
    <row r="1225" spans="1:3" x14ac:dyDescent="0.25">
      <c r="A1225" t="s">
        <v>3444</v>
      </c>
      <c r="B1225" t="s">
        <v>3445</v>
      </c>
      <c r="C1225" t="str">
        <f t="shared" si="6"/>
        <v xml:space="preserve">9112 - Trabalhador de limpeza em escritórios, hotéis e outros estabelecimentos </v>
      </c>
    </row>
    <row r="1226" spans="1:3" x14ac:dyDescent="0.25">
      <c r="A1226" t="s">
        <v>3446</v>
      </c>
      <c r="B1226" t="s">
        <v>3447</v>
      </c>
      <c r="C1226" t="str">
        <f t="shared" si="6"/>
        <v xml:space="preserve">9121 - Lavadeiro e engomador de roupa </v>
      </c>
    </row>
    <row r="1227" spans="1:3" x14ac:dyDescent="0.25">
      <c r="A1227" t="s">
        <v>3448</v>
      </c>
      <c r="B1227" t="s">
        <v>3449</v>
      </c>
      <c r="C1227" t="str">
        <f t="shared" si="6"/>
        <v xml:space="preserve">9122 - Lavador de veículos </v>
      </c>
    </row>
    <row r="1228" spans="1:3" x14ac:dyDescent="0.25">
      <c r="A1228" t="s">
        <v>3450</v>
      </c>
      <c r="B1228" t="s">
        <v>3451</v>
      </c>
      <c r="C1228" t="str">
        <f t="shared" si="6"/>
        <v xml:space="preserve">9123 - Lavador de janelas </v>
      </c>
    </row>
    <row r="1229" spans="1:3" x14ac:dyDescent="0.25">
      <c r="A1229" t="s">
        <v>3452</v>
      </c>
      <c r="B1229" t="s">
        <v>3453</v>
      </c>
      <c r="C1229" t="str">
        <f t="shared" si="6"/>
        <v xml:space="preserve">9129 - Outro trabalhador de limpeza manual </v>
      </c>
    </row>
    <row r="1230" spans="1:3" x14ac:dyDescent="0.25">
      <c r="A1230" t="s">
        <v>3454</v>
      </c>
      <c r="B1230" t="s">
        <v>3455</v>
      </c>
      <c r="C1230" t="str">
        <f t="shared" si="6"/>
        <v>9211 - Trabalhador não qualificado da agricultura (exclui horticultura e floricultura)</v>
      </c>
    </row>
    <row r="1231" spans="1:3" x14ac:dyDescent="0.25">
      <c r="A1231" t="s">
        <v>3456</v>
      </c>
      <c r="B1231" t="s">
        <v>3457</v>
      </c>
      <c r="C1231" t="str">
        <f t="shared" si="6"/>
        <v>9212 - Trabalhador não qualificado da produção animal</v>
      </c>
    </row>
    <row r="1232" spans="1:3" x14ac:dyDescent="0.25">
      <c r="A1232" t="s">
        <v>3458</v>
      </c>
      <c r="B1232" t="s">
        <v>3459</v>
      </c>
      <c r="C1232" t="str">
        <f t="shared" si="6"/>
        <v xml:space="preserve">9213 - Trabalhador não qualificado da agricultura e produção animal combinadas </v>
      </c>
    </row>
    <row r="1233" spans="1:3" x14ac:dyDescent="0.25">
      <c r="A1233" t="s">
        <v>3460</v>
      </c>
      <c r="B1233" t="s">
        <v>3461</v>
      </c>
      <c r="C1233" t="str">
        <f t="shared" si="6"/>
        <v>9214 - Trabalhador não qualificado da floricultura e horticultura</v>
      </c>
    </row>
    <row r="1234" spans="1:3" x14ac:dyDescent="0.25">
      <c r="A1234" t="s">
        <v>3462</v>
      </c>
      <c r="B1234" t="s">
        <v>3463</v>
      </c>
      <c r="C1234" t="str">
        <f t="shared" si="6"/>
        <v xml:space="preserve">9215 - Trabalhador não qualificado da floresta </v>
      </c>
    </row>
    <row r="1235" spans="1:3" x14ac:dyDescent="0.25">
      <c r="A1235" t="s">
        <v>3464</v>
      </c>
      <c r="B1235" t="s">
        <v>3465</v>
      </c>
      <c r="C1235" t="str">
        <f t="shared" si="6"/>
        <v>9216 - Trabalhadores não qualificados, da pesca e aquicultura</v>
      </c>
    </row>
    <row r="1236" spans="1:3" x14ac:dyDescent="0.25">
      <c r="A1236" t="s">
        <v>3466</v>
      </c>
      <c r="B1236" t="s">
        <v>3467</v>
      </c>
      <c r="C1236" t="str">
        <f t="shared" si="6"/>
        <v xml:space="preserve">9311 - Trabalhadores não qualificados das minas e pedreiras </v>
      </c>
    </row>
    <row r="1237" spans="1:3" x14ac:dyDescent="0.25">
      <c r="A1237" t="s">
        <v>3468</v>
      </c>
      <c r="B1237" t="s">
        <v>3469</v>
      </c>
      <c r="C1237" t="str">
        <f t="shared" si="6"/>
        <v xml:space="preserve">9312 - Trabalhador não qualificado de engenharia civil </v>
      </c>
    </row>
    <row r="1238" spans="1:3" x14ac:dyDescent="0.25">
      <c r="A1238" t="s">
        <v>3470</v>
      </c>
      <c r="B1238" t="s">
        <v>3471</v>
      </c>
      <c r="C1238" t="str">
        <f t="shared" si="6"/>
        <v xml:space="preserve">9313 - Trabalhador não qualificado da construção de edifícios </v>
      </c>
    </row>
    <row r="1239" spans="1:3" x14ac:dyDescent="0.25">
      <c r="A1239" t="s">
        <v>3472</v>
      </c>
      <c r="B1239" t="s">
        <v>3473</v>
      </c>
      <c r="C1239" t="str">
        <f t="shared" si="6"/>
        <v>9321 - Embalador manual da indústria transformadora</v>
      </c>
    </row>
    <row r="1240" spans="1:3" x14ac:dyDescent="0.25">
      <c r="A1240" t="s">
        <v>3474</v>
      </c>
      <c r="B1240" t="s">
        <v>3475</v>
      </c>
      <c r="C1240" t="str">
        <f t="shared" si="6"/>
        <v>9329 - Outros trabalhadores não qualificados da indústria transformador</v>
      </c>
    </row>
    <row r="1241" spans="1:3" x14ac:dyDescent="0.25">
      <c r="A1241" t="s">
        <v>3476</v>
      </c>
      <c r="B1241" t="s">
        <v>3477</v>
      </c>
      <c r="C1241" t="str">
        <f t="shared" si="6"/>
        <v>9331 - Condutor de veículos accionados à mão ou ao pé</v>
      </c>
    </row>
    <row r="1242" spans="1:3" x14ac:dyDescent="0.25">
      <c r="A1242" t="s">
        <v>3478</v>
      </c>
      <c r="B1242" t="s">
        <v>3479</v>
      </c>
      <c r="C1242" t="str">
        <f t="shared" si="6"/>
        <v>9332 - Condutor de veículos de tracção animal</v>
      </c>
    </row>
    <row r="1243" spans="1:3" x14ac:dyDescent="0.25">
      <c r="A1243" t="s">
        <v>3480</v>
      </c>
      <c r="B1243" t="s">
        <v>3481</v>
      </c>
      <c r="C1243" t="str">
        <f t="shared" si="6"/>
        <v>9333 - Carregadores e descarregadores não qualificados de mercadorias</v>
      </c>
    </row>
    <row r="1244" spans="1:3" x14ac:dyDescent="0.25">
      <c r="A1244" t="s">
        <v>3482</v>
      </c>
      <c r="B1244" t="s">
        <v>3483</v>
      </c>
      <c r="C1244" t="str">
        <f t="shared" si="6"/>
        <v>9334 - Repositor de produtos em prateleiras</v>
      </c>
    </row>
    <row r="1245" spans="1:3" x14ac:dyDescent="0.25">
      <c r="A1245" t="s">
        <v>3484</v>
      </c>
      <c r="B1245" t="s">
        <v>3485</v>
      </c>
      <c r="C1245" t="str">
        <f t="shared" si="6"/>
        <v>9411 - Preparador de refeições rápidas</v>
      </c>
    </row>
    <row r="1246" spans="1:3" x14ac:dyDescent="0.25">
      <c r="A1246" t="s">
        <v>3486</v>
      </c>
      <c r="B1246" t="s">
        <v>3487</v>
      </c>
      <c r="C1246" t="str">
        <f t="shared" si="6"/>
        <v>9412 - Ajudante de cozinha</v>
      </c>
    </row>
    <row r="1247" spans="1:3" x14ac:dyDescent="0.25">
      <c r="A1247" t="s">
        <v>3488</v>
      </c>
      <c r="B1247" t="s">
        <v>3489</v>
      </c>
      <c r="C1247" t="str">
        <f t="shared" si="6"/>
        <v>9510 - Prestador de serviços na rua</v>
      </c>
    </row>
    <row r="1248" spans="1:3" x14ac:dyDescent="0.25">
      <c r="A1248" t="s">
        <v>3490</v>
      </c>
      <c r="B1248" t="s">
        <v>3491</v>
      </c>
      <c r="C1248" t="str">
        <f t="shared" si="6"/>
        <v xml:space="preserve">9520 - Vendedor ambulante (excepto de alimentos) </v>
      </c>
    </row>
    <row r="1249" spans="1:3" x14ac:dyDescent="0.25">
      <c r="A1249" t="s">
        <v>3492</v>
      </c>
      <c r="B1249" t="s">
        <v>3493</v>
      </c>
      <c r="C1249" t="str">
        <f t="shared" si="6"/>
        <v>9611 - Trabalhador da recolha de resíduos</v>
      </c>
    </row>
    <row r="1250" spans="1:3" x14ac:dyDescent="0.25">
      <c r="A1250" t="s">
        <v>3494</v>
      </c>
      <c r="B1250" t="s">
        <v>3495</v>
      </c>
      <c r="C1250" t="str">
        <f t="shared" si="6"/>
        <v>9612 - Trabalhador da triagem de resíduos</v>
      </c>
    </row>
    <row r="1251" spans="1:3" x14ac:dyDescent="0.25">
      <c r="A1251" t="s">
        <v>3496</v>
      </c>
      <c r="B1251" t="s">
        <v>3497</v>
      </c>
      <c r="C1251" t="str">
        <f t="shared" si="6"/>
        <v>9613 - Cantoneiros de limpeza, empregados de lavabos e similares</v>
      </c>
    </row>
    <row r="1252" spans="1:3" x14ac:dyDescent="0.25">
      <c r="A1252" t="s">
        <v>3498</v>
      </c>
      <c r="B1252" t="s">
        <v>3499</v>
      </c>
      <c r="C1252" t="str">
        <f t="shared" si="6"/>
        <v xml:space="preserve">9621 - Estafetas, bagageiros e distribuidores </v>
      </c>
    </row>
    <row r="1253" spans="1:3" x14ac:dyDescent="0.25">
      <c r="A1253" t="s">
        <v>3500</v>
      </c>
      <c r="B1253" t="s">
        <v>3501</v>
      </c>
      <c r="C1253" t="str">
        <f t="shared" si="6"/>
        <v>9622 - Trabalhadores polivalentes</v>
      </c>
    </row>
    <row r="1254" spans="1:3" x14ac:dyDescent="0.25">
      <c r="A1254" t="s">
        <v>3502</v>
      </c>
      <c r="B1254" t="s">
        <v>3503</v>
      </c>
      <c r="C1254" t="str">
        <f t="shared" si="6"/>
        <v>9623 - Leitores de contadores e colectores de dinheiro, em máquinas de venda automática, parquímetros e similares</v>
      </c>
    </row>
    <row r="1255" spans="1:3" x14ac:dyDescent="0.25">
      <c r="A1255" t="s">
        <v>3504</v>
      </c>
      <c r="B1255" t="s">
        <v>3505</v>
      </c>
      <c r="C1255" t="str">
        <f t="shared" si="6"/>
        <v>9624 - Carregador de água e apanhador de lenha</v>
      </c>
    </row>
    <row r="1256" spans="1:3" x14ac:dyDescent="0.25">
      <c r="A1256" t="s">
        <v>3506</v>
      </c>
      <c r="B1256" t="s">
        <v>3507</v>
      </c>
      <c r="C1256" t="str">
        <f t="shared" si="6"/>
        <v xml:space="preserve">9629 - Outras profissões elementares, n.e. </v>
      </c>
    </row>
    <row r="1257" spans="1:3" x14ac:dyDescent="0.25">
      <c r="A1257" t="str">
        <f>"3115"</f>
        <v>3115</v>
      </c>
      <c r="B1257" t="str">
        <f>"Técnicos e inspectores de mecânica "</f>
        <v xml:space="preserve">Técnicos e inspectores de mecânica </v>
      </c>
      <c r="C1257" t="s">
        <v>1726</v>
      </c>
    </row>
    <row r="1258" spans="1:3" x14ac:dyDescent="0.25">
      <c r="A1258" t="str">
        <f>"3115.1"</f>
        <v>3115.1</v>
      </c>
      <c r="B1258" t="str">
        <f>"Técnico de inspecção de veículos "</f>
        <v xml:space="preserve">Técnico de inspecção de veículos </v>
      </c>
      <c r="C1258" t="s">
        <v>1727</v>
      </c>
    </row>
    <row r="1259" spans="1:3" x14ac:dyDescent="0.25">
      <c r="A1259" t="str">
        <f>"3115.2"</f>
        <v>3115.2</v>
      </c>
      <c r="B1259" t="str">
        <f>"Outros técnicos e inspectores de mecânica "</f>
        <v xml:space="preserve">Outros técnicos e inspectores de mecânica </v>
      </c>
      <c r="C1259" t="s">
        <v>1728</v>
      </c>
    </row>
    <row r="1260" spans="1:3" x14ac:dyDescent="0.25">
      <c r="A1260" t="str">
        <f>"3116"</f>
        <v>3116</v>
      </c>
      <c r="B1260" t="str">
        <f>"Técnico de química industrial"</f>
        <v>Técnico de química industrial</v>
      </c>
      <c r="C1260" t="s">
        <v>1729</v>
      </c>
    </row>
    <row r="1261" spans="1:3" x14ac:dyDescent="0.25">
      <c r="A1261" t="str">
        <f>"3116.0"</f>
        <v>3116.0</v>
      </c>
      <c r="B1261" t="str">
        <f>"Técnico de química industrial"</f>
        <v>Técnico de química industrial</v>
      </c>
      <c r="C1261" t="s">
        <v>1730</v>
      </c>
    </row>
    <row r="1262" spans="1:3" x14ac:dyDescent="0.25">
      <c r="A1262" t="str">
        <f>"3117"</f>
        <v>3117</v>
      </c>
      <c r="B1262" t="str">
        <f>"Técnico da metalurgia de base e da indústria extractiva "</f>
        <v xml:space="preserve">Técnico da metalurgia de base e da indústria extractiva </v>
      </c>
      <c r="C1262" t="s">
        <v>1731</v>
      </c>
    </row>
    <row r="1263" spans="1:3" x14ac:dyDescent="0.25">
      <c r="A1263" t="str">
        <f>"3117.0"</f>
        <v>3117.0</v>
      </c>
      <c r="B1263" t="str">
        <f>"Técnico da metalurgia de base e da indústria extractiva "</f>
        <v xml:space="preserve">Técnico da metalurgia de base e da indústria extractiva </v>
      </c>
      <c r="C1263" t="s">
        <v>1732</v>
      </c>
    </row>
    <row r="1264" spans="1:3" x14ac:dyDescent="0.25">
      <c r="A1264" t="str">
        <f>"3118"</f>
        <v>3118</v>
      </c>
      <c r="B1264" t="str">
        <f>"Desenhadores e técnicos afins"</f>
        <v>Desenhadores e técnicos afins</v>
      </c>
      <c r="C1264" t="s">
        <v>1733</v>
      </c>
    </row>
    <row r="1265" spans="1:3" x14ac:dyDescent="0.25">
      <c r="A1265" t="str">
        <f>"3118.0"</f>
        <v>3118.0</v>
      </c>
      <c r="B1265" t="str">
        <f>"Desenhadores e técnicos afins"</f>
        <v>Desenhadores e técnicos afins</v>
      </c>
      <c r="C1265" t="s">
        <v>1734</v>
      </c>
    </row>
    <row r="1266" spans="1:3" x14ac:dyDescent="0.25">
      <c r="A1266" t="str">
        <f>"3119"</f>
        <v>3119</v>
      </c>
      <c r="B1266" t="str">
        <f>"Outros técnicos das ciências físicas e de engenharia "</f>
        <v xml:space="preserve">Outros técnicos das ciências físicas e de engenharia </v>
      </c>
      <c r="C1266" t="s">
        <v>1735</v>
      </c>
    </row>
    <row r="1267" spans="1:3" x14ac:dyDescent="0.25">
      <c r="A1267" t="str">
        <f>"3119.1"</f>
        <v>3119.1</v>
      </c>
      <c r="B1267" t="str">
        <f>"Técnico de gás"</f>
        <v>Técnico de gás</v>
      </c>
      <c r="C1267" t="s">
        <v>1736</v>
      </c>
    </row>
    <row r="1268" spans="1:3" x14ac:dyDescent="0.25">
      <c r="A1268" t="str">
        <f>"3119.2"</f>
        <v>3119.2</v>
      </c>
      <c r="B1268" t="str">
        <f>"Outros técnicos das ciências físicas e de engenharia, n.e."</f>
        <v>Outros técnicos das ciências físicas e de engenharia, n.e.</v>
      </c>
      <c r="C1268" t="s">
        <v>1737</v>
      </c>
    </row>
    <row r="1269" spans="1:3" x14ac:dyDescent="0.25">
      <c r="A1269" t="str">
        <f>"312"</f>
        <v>312</v>
      </c>
      <c r="B1269" t="str">
        <f>"Encarregados das indústrias extractiva, transformadora e construção"</f>
        <v>Encarregados das indústrias extractiva, transformadora e construção</v>
      </c>
      <c r="C1269" t="s">
        <v>1738</v>
      </c>
    </row>
    <row r="1270" spans="1:3" x14ac:dyDescent="0.25">
      <c r="A1270" t="str">
        <f>"3121"</f>
        <v>3121</v>
      </c>
      <c r="B1270" t="str">
        <f>"Encarregado da indústria extractiva"</f>
        <v>Encarregado da indústria extractiva</v>
      </c>
      <c r="C1270" t="s">
        <v>1739</v>
      </c>
    </row>
    <row r="1271" spans="1:3" x14ac:dyDescent="0.25">
      <c r="A1271" t="str">
        <f>"3121.0"</f>
        <v>3121.0</v>
      </c>
      <c r="B1271" t="str">
        <f>"Encarregado da indústria extractiva"</f>
        <v>Encarregado da indústria extractiva</v>
      </c>
      <c r="C1271" t="s">
        <v>1740</v>
      </c>
    </row>
    <row r="1272" spans="1:3" x14ac:dyDescent="0.25">
      <c r="A1272" t="str">
        <f>"3122"</f>
        <v>3122</v>
      </c>
      <c r="B1272" t="str">
        <f>"Encarregado da indústria transformadora"</f>
        <v>Encarregado da indústria transformadora</v>
      </c>
      <c r="C1272" t="s">
        <v>1741</v>
      </c>
    </row>
    <row r="1273" spans="1:3" x14ac:dyDescent="0.25">
      <c r="A1273" t="str">
        <f>"3122.1"</f>
        <v>3122.1</v>
      </c>
      <c r="B1273" t="str">
        <f>"Encarregados das indústrias alimentares e das bebidas"</f>
        <v>Encarregados das indústrias alimentares e das bebidas</v>
      </c>
      <c r="C1273" t="s">
        <v>1742</v>
      </c>
    </row>
    <row r="1274" spans="1:3" x14ac:dyDescent="0.25">
      <c r="A1274" t="str">
        <f>"3122.2"</f>
        <v>3122.2</v>
      </c>
      <c r="B1274" t="str">
        <f>"Encarregados das indústrias têxteis, do vestuário, calçado e curtumes"</f>
        <v>Encarregados das indústrias têxteis, do vestuário, calçado e curtumes</v>
      </c>
      <c r="C1274" t="s">
        <v>1743</v>
      </c>
    </row>
    <row r="1275" spans="1:3" x14ac:dyDescent="0.25">
      <c r="A1275" t="str">
        <f>"3122.3"</f>
        <v>3122.3</v>
      </c>
      <c r="B1275" t="str">
        <f>"Encarregados das indústrias da madeira e cortiça"</f>
        <v>Encarregados das indústrias da madeira e cortiça</v>
      </c>
      <c r="C1275" t="s">
        <v>1744</v>
      </c>
    </row>
    <row r="1276" spans="1:3" x14ac:dyDescent="0.25">
      <c r="A1276" t="str">
        <f>"3122.4"</f>
        <v>3122.4</v>
      </c>
      <c r="B1276" t="str">
        <f>"Encarregados das indústrias da pasta, papel, impressão e similares"</f>
        <v>Encarregados das indústrias da pasta, papel, impressão e similares</v>
      </c>
      <c r="C1276" t="s">
        <v>1745</v>
      </c>
    </row>
    <row r="1277" spans="1:3" x14ac:dyDescent="0.25">
      <c r="A1277" t="str">
        <f>"3122.5"</f>
        <v>3122.5</v>
      </c>
      <c r="B1277" t="str">
        <f>"Encarregados das indústrias da refinação do petróleo, químicas, produtos farmacêuticos e transformação de matérias plásticas e borracha"</f>
        <v>Encarregados das indústrias da refinação do petróleo, químicas, produtos farmacêuticos e transformação de matérias plásticas e borracha</v>
      </c>
      <c r="C1277" t="s">
        <v>1746</v>
      </c>
    </row>
    <row r="1278" spans="1:3" x14ac:dyDescent="0.25">
      <c r="A1278" t="str">
        <f>"3122.6"</f>
        <v>3122.6</v>
      </c>
      <c r="B1278" t="str">
        <f>"Encarregados das indústrias da transformação de minerais não metálicos"</f>
        <v>Encarregados das indústrias da transformação de minerais não metálicos</v>
      </c>
      <c r="C1278" t="s">
        <v>1747</v>
      </c>
    </row>
    <row r="1279" spans="1:3" x14ac:dyDescent="0.25">
      <c r="A1279" t="str">
        <f>"3122.7"</f>
        <v>3122.7</v>
      </c>
      <c r="B1279" t="str">
        <f>"Encarregados das indústrias metalúrgicas de base e fabrico de produtos metálicos"</f>
        <v>Encarregados das indústrias metalúrgicas de base e fabrico de produtos metálicos</v>
      </c>
      <c r="C1279" t="s">
        <v>1748</v>
      </c>
    </row>
    <row r="1280" spans="1:3" x14ac:dyDescent="0.25">
      <c r="A1280" t="str">
        <f>"3122.8"</f>
        <v>3122.8</v>
      </c>
      <c r="B1280" t="str">
        <f>"Outros encarregados da indústria transformadora"</f>
        <v>Outros encarregados da indústria transformadora</v>
      </c>
      <c r="C1280" t="s">
        <v>1749</v>
      </c>
    </row>
    <row r="1281" spans="1:3" x14ac:dyDescent="0.25">
      <c r="A1281" t="str">
        <f>"3123"</f>
        <v>3123</v>
      </c>
      <c r="B1281" t="str">
        <f>"Encarregado da construção "</f>
        <v xml:space="preserve">Encarregado da construção </v>
      </c>
      <c r="C1281" t="s">
        <v>1750</v>
      </c>
    </row>
    <row r="1282" spans="1:3" x14ac:dyDescent="0.25">
      <c r="A1282" t="str">
        <f>"3123.0"</f>
        <v>3123.0</v>
      </c>
      <c r="B1282" t="str">
        <f>"Encarregado da construção "</f>
        <v xml:space="preserve">Encarregado da construção </v>
      </c>
      <c r="C1282" t="s">
        <v>1751</v>
      </c>
    </row>
    <row r="1283" spans="1:3" x14ac:dyDescent="0.25">
      <c r="A1283" t="str">
        <f>"313"</f>
        <v>313</v>
      </c>
      <c r="B1283" t="str">
        <f>"Técnicos de operação e controlo de processos industriais "</f>
        <v xml:space="preserve">Técnicos de operação e controlo de processos industriais </v>
      </c>
      <c r="C1283" t="s">
        <v>1752</v>
      </c>
    </row>
    <row r="1284" spans="1:3" x14ac:dyDescent="0.25">
      <c r="A1284" t="str">
        <f>"3131"</f>
        <v>3131</v>
      </c>
      <c r="B1284" t="str">
        <f>"Técnico de operação de instalações de produção de energia "</f>
        <v xml:space="preserve">Técnico de operação de instalações de produção de energia </v>
      </c>
      <c r="C1284" t="s">
        <v>1753</v>
      </c>
    </row>
    <row r="1285" spans="1:3" x14ac:dyDescent="0.25">
      <c r="A1285" t="str">
        <f>"3131.0"</f>
        <v>3131.0</v>
      </c>
      <c r="B1285" t="str">
        <f>"Técnico de operação de instalações de produção de energia "</f>
        <v xml:space="preserve">Técnico de operação de instalações de produção de energia </v>
      </c>
      <c r="C1285" t="s">
        <v>1754</v>
      </c>
    </row>
    <row r="1286" spans="1:3" x14ac:dyDescent="0.25">
      <c r="A1286" t="str">
        <f>"3132"</f>
        <v>3132</v>
      </c>
      <c r="B1286" t="str">
        <f>"Técnicos de operação de incineradores e de instalações de tratamento de água "</f>
        <v xml:space="preserve">Técnicos de operação de incineradores e de instalações de tratamento de água </v>
      </c>
      <c r="C1286" t="s">
        <v>1755</v>
      </c>
    </row>
    <row r="1287" spans="1:3" x14ac:dyDescent="0.25">
      <c r="A1287" t="str">
        <f>"3132.1"</f>
        <v>3132.1</v>
      </c>
      <c r="B1287" t="str">
        <f>"Técnico de operação de incineradores "</f>
        <v xml:space="preserve">Técnico de operação de incineradores </v>
      </c>
      <c r="C1287" t="s">
        <v>1756</v>
      </c>
    </row>
    <row r="1288" spans="1:3" x14ac:dyDescent="0.25">
      <c r="A1288" t="str">
        <f>"3132.2"</f>
        <v>3132.2</v>
      </c>
      <c r="B1288" t="str">
        <f>"Técnico de operação de instalações de tratamento de água "</f>
        <v xml:space="preserve">Técnico de operação de instalações de tratamento de água </v>
      </c>
      <c r="C1288" t="s">
        <v>1757</v>
      </c>
    </row>
    <row r="1289" spans="1:3" x14ac:dyDescent="0.25">
      <c r="A1289" t="str">
        <f>"3133"</f>
        <v>3133</v>
      </c>
      <c r="B1289" t="str">
        <f>"Técnico de controlo de instalações da indústria química"</f>
        <v>Técnico de controlo de instalações da indústria química</v>
      </c>
      <c r="C1289" t="s">
        <v>1758</v>
      </c>
    </row>
    <row r="1290" spans="1:3" x14ac:dyDescent="0.25">
      <c r="A1290" t="str">
        <f>"3133.0"</f>
        <v>3133.0</v>
      </c>
      <c r="B1290" t="str">
        <f>"Técnico de controlo de instalações da indústria química"</f>
        <v>Técnico de controlo de instalações da indústria química</v>
      </c>
      <c r="C1290" t="s">
        <v>1759</v>
      </c>
    </row>
    <row r="1291" spans="1:3" x14ac:dyDescent="0.25">
      <c r="A1291" t="str">
        <f>"3134"</f>
        <v>3134</v>
      </c>
      <c r="B1291" t="str">
        <f>"Técnico de operação de instalações de refinação de petróleo e gás natural "</f>
        <v xml:space="preserve">Técnico de operação de instalações de refinação de petróleo e gás natural </v>
      </c>
      <c r="C1291" t="s">
        <v>1760</v>
      </c>
    </row>
    <row r="1292" spans="1:3" x14ac:dyDescent="0.25">
      <c r="A1292" t="str">
        <f>"3134.0"</f>
        <v>3134.0</v>
      </c>
      <c r="B1292" t="str">
        <f>"Técnico de operação de instalações de refinação de petróleo e gás natural "</f>
        <v xml:space="preserve">Técnico de operação de instalações de refinação de petróleo e gás natural </v>
      </c>
      <c r="C1292" t="s">
        <v>1761</v>
      </c>
    </row>
    <row r="1293" spans="1:3" x14ac:dyDescent="0.25">
      <c r="A1293" t="str">
        <f>"3135"</f>
        <v>3135</v>
      </c>
      <c r="B1293" t="str">
        <f>"Técnico de controlo de instalações de produção de metais "</f>
        <v xml:space="preserve">Técnico de controlo de instalações de produção de metais </v>
      </c>
      <c r="C1293" t="s">
        <v>1762</v>
      </c>
    </row>
    <row r="1294" spans="1:3" x14ac:dyDescent="0.25">
      <c r="A1294" t="str">
        <f>"3135.0"</f>
        <v>3135.0</v>
      </c>
      <c r="B1294" t="str">
        <f>"Técnico de controlo de instalações de produção de metais "</f>
        <v xml:space="preserve">Técnico de controlo de instalações de produção de metais </v>
      </c>
      <c r="C1294" t="s">
        <v>1763</v>
      </c>
    </row>
    <row r="1295" spans="1:3" x14ac:dyDescent="0.25">
      <c r="A1295" t="str">
        <f>"3139"</f>
        <v>3139</v>
      </c>
      <c r="B1295" t="str">
        <f>"Outros técnicos de controlo de processos industriais"</f>
        <v>Outros técnicos de controlo de processos industriais</v>
      </c>
      <c r="C1295" t="s">
        <v>1764</v>
      </c>
    </row>
    <row r="1296" spans="1:3" x14ac:dyDescent="0.25">
      <c r="A1296" t="str">
        <f>"3139.0"</f>
        <v>3139.0</v>
      </c>
      <c r="B1296" t="str">
        <f>"Outros técnicos de controlo de processos industriais"</f>
        <v>Outros técnicos de controlo de processos industriais</v>
      </c>
      <c r="C1296" t="s">
        <v>1765</v>
      </c>
    </row>
    <row r="1297" spans="1:3" x14ac:dyDescent="0.25">
      <c r="A1297" t="str">
        <f>"314"</f>
        <v>314</v>
      </c>
      <c r="B1297" t="str">
        <f>"Técnicos e profissões afins das ciências da vida, de nível intermédio "</f>
        <v xml:space="preserve">Técnicos e profissões afins das ciências da vida, de nível intermédio </v>
      </c>
      <c r="C1297" t="s">
        <v>1766</v>
      </c>
    </row>
    <row r="1298" spans="1:3" x14ac:dyDescent="0.25">
      <c r="A1298" t="str">
        <f>"3141"</f>
        <v>3141</v>
      </c>
      <c r="B1298" t="str">
        <f>"Técnico das ciências da vida (excepto ciências médicas)"</f>
        <v>Técnico das ciências da vida (excepto ciências médicas)</v>
      </c>
      <c r="C1298" t="s">
        <v>1767</v>
      </c>
    </row>
    <row r="1299" spans="1:3" x14ac:dyDescent="0.25">
      <c r="A1299" t="str">
        <f>"3141.0"</f>
        <v>3141.0</v>
      </c>
      <c r="B1299" t="str">
        <f>"Técnico das ciências da vida (excepto ciências médicas)"</f>
        <v>Técnico das ciências da vida (excepto ciências médicas)</v>
      </c>
      <c r="C1299" t="s">
        <v>1768</v>
      </c>
    </row>
    <row r="1300" spans="1:3" x14ac:dyDescent="0.25">
      <c r="A1300" t="str">
        <f>"3142"</f>
        <v>3142</v>
      </c>
      <c r="B1300" t="str">
        <f>"Técnicos da agricultura e da produção animal"</f>
        <v>Técnicos da agricultura e da produção animal</v>
      </c>
      <c r="C1300" t="s">
        <v>1769</v>
      </c>
    </row>
    <row r="1301" spans="1:3" x14ac:dyDescent="0.25">
      <c r="A1301" t="str">
        <f>"3142.1"</f>
        <v>3142.1</v>
      </c>
      <c r="B1301" t="str">
        <f>"Técnico agrícola"</f>
        <v>Técnico agrícola</v>
      </c>
      <c r="C1301" t="s">
        <v>1770</v>
      </c>
    </row>
    <row r="1302" spans="1:3" x14ac:dyDescent="0.25">
      <c r="A1302" t="str">
        <f>"3142.2"</f>
        <v>3142.2</v>
      </c>
      <c r="B1302" t="str">
        <f>"Técnico da produção animal"</f>
        <v>Técnico da produção animal</v>
      </c>
      <c r="C1302" t="s">
        <v>1771</v>
      </c>
    </row>
    <row r="1303" spans="1:3" x14ac:dyDescent="0.25">
      <c r="A1303" t="str">
        <f>"3143"</f>
        <v>3143</v>
      </c>
      <c r="B1303" t="str">
        <f>"Técnico florestal (inclui cinegético)"</f>
        <v>Técnico florestal (inclui cinegético)</v>
      </c>
      <c r="C1303" t="s">
        <v>1772</v>
      </c>
    </row>
    <row r="1304" spans="1:3" x14ac:dyDescent="0.25">
      <c r="A1304" t="str">
        <f>"3143.0"</f>
        <v>3143.0</v>
      </c>
      <c r="B1304" t="str">
        <f>"Técnico florestal (inclui cinegético)"</f>
        <v>Técnico florestal (inclui cinegético)</v>
      </c>
      <c r="C1304" t="s">
        <v>1773</v>
      </c>
    </row>
    <row r="1305" spans="1:3" x14ac:dyDescent="0.25">
      <c r="A1305" t="str">
        <f>"315"</f>
        <v>315</v>
      </c>
      <c r="B1305" t="str">
        <f>"Técnicos operacionais e controladores, dos transportes marítimo e aéreo"</f>
        <v>Técnicos operacionais e controladores, dos transportes marítimo e aéreo</v>
      </c>
      <c r="C1305" t="s">
        <v>1774</v>
      </c>
    </row>
    <row r="1306" spans="1:3" x14ac:dyDescent="0.25">
      <c r="A1306" t="str">
        <f>"3151"</f>
        <v>3151</v>
      </c>
      <c r="B1306" t="str">
        <f>"Oficial maquinista de navios"</f>
        <v>Oficial maquinista de navios</v>
      </c>
      <c r="C1306" t="s">
        <v>1775</v>
      </c>
    </row>
    <row r="1307" spans="1:3" x14ac:dyDescent="0.25">
      <c r="A1307" t="str">
        <f>"3151.0"</f>
        <v>3151.0</v>
      </c>
      <c r="B1307" t="str">
        <f>"Oficial maquinista de navios"</f>
        <v>Oficial maquinista de navios</v>
      </c>
      <c r="C1307" t="s">
        <v>1776</v>
      </c>
    </row>
    <row r="1308" spans="1:3" x14ac:dyDescent="0.25">
      <c r="A1308" t="str">
        <f>"3152"</f>
        <v>3152</v>
      </c>
      <c r="B1308" t="str">
        <f>"Oficial de convés e piloto de navios"</f>
        <v>Oficial de convés e piloto de navios</v>
      </c>
      <c r="C1308" t="s">
        <v>1777</v>
      </c>
    </row>
    <row r="1309" spans="1:3" x14ac:dyDescent="0.25">
      <c r="A1309" t="str">
        <f>"3152.0"</f>
        <v>3152.0</v>
      </c>
      <c r="B1309" t="str">
        <f>"Oficial de convés e piloto de navios"</f>
        <v>Oficial de convés e piloto de navios</v>
      </c>
      <c r="C1309" t="s">
        <v>1778</v>
      </c>
    </row>
    <row r="1310" spans="1:3" x14ac:dyDescent="0.25">
      <c r="A1310" t="str">
        <f>"3153"</f>
        <v>3153</v>
      </c>
      <c r="B1310" t="str">
        <f>"Piloto de aeronaves"</f>
        <v>Piloto de aeronaves</v>
      </c>
      <c r="C1310" t="s">
        <v>1779</v>
      </c>
    </row>
    <row r="1311" spans="1:3" x14ac:dyDescent="0.25">
      <c r="A1311" t="str">
        <f>"3153.0"</f>
        <v>3153.0</v>
      </c>
      <c r="B1311" t="str">
        <f>"Piloto de aeronaves"</f>
        <v>Piloto de aeronaves</v>
      </c>
      <c r="C1311" t="s">
        <v>1780</v>
      </c>
    </row>
    <row r="1312" spans="1:3" x14ac:dyDescent="0.25">
      <c r="A1312" t="str">
        <f>"3154"</f>
        <v>3154</v>
      </c>
      <c r="B1312" t="str">
        <f>"Controlador de tráfego aéreo"</f>
        <v>Controlador de tráfego aéreo</v>
      </c>
      <c r="C1312" t="s">
        <v>1781</v>
      </c>
    </row>
    <row r="1313" spans="1:3" x14ac:dyDescent="0.25">
      <c r="A1313" t="str">
        <f>"3154.0"</f>
        <v>3154.0</v>
      </c>
      <c r="B1313" t="str">
        <f>"Controlador de tráfego aéreo"</f>
        <v>Controlador de tráfego aéreo</v>
      </c>
      <c r="C1313" t="s">
        <v>1782</v>
      </c>
    </row>
    <row r="1314" spans="1:3" x14ac:dyDescent="0.25">
      <c r="A1314" t="str">
        <f>"3155"</f>
        <v>3155</v>
      </c>
      <c r="B1314" t="str">
        <f>"Técnico de segurança de sistemas electrónicos aeronáuticos "</f>
        <v xml:space="preserve">Técnico de segurança de sistemas electrónicos aeronáuticos </v>
      </c>
      <c r="C1314" t="s">
        <v>1783</v>
      </c>
    </row>
    <row r="1315" spans="1:3" x14ac:dyDescent="0.25">
      <c r="A1315" t="str">
        <f>"3155.0"</f>
        <v>3155.0</v>
      </c>
      <c r="B1315" t="str">
        <f>"Técnico de segurança de sistemas electrónicos aeronáuticos "</f>
        <v xml:space="preserve">Técnico de segurança de sistemas electrónicos aeronáuticos </v>
      </c>
      <c r="C1315" t="s">
        <v>1784</v>
      </c>
    </row>
    <row r="1316" spans="1:3" x14ac:dyDescent="0.25">
      <c r="A1316" t="str">
        <f>"32"</f>
        <v>32</v>
      </c>
      <c r="B1316" t="str">
        <f>"Técnicos e profissionais, de nível intermédio da saúde"</f>
        <v>Técnicos e profissionais, de nível intermédio da saúde</v>
      </c>
      <c r="C1316" t="s">
        <v>1785</v>
      </c>
    </row>
    <row r="1317" spans="1:3" x14ac:dyDescent="0.25">
      <c r="A1317" t="str">
        <f>"321"</f>
        <v>321</v>
      </c>
      <c r="B1317" t="str">
        <f>"Técnicos da medicina e farmácia"</f>
        <v>Técnicos da medicina e farmácia</v>
      </c>
      <c r="C1317" t="s">
        <v>1786</v>
      </c>
    </row>
    <row r="1318" spans="1:3" x14ac:dyDescent="0.25">
      <c r="A1318" t="str">
        <f>"3211"</f>
        <v>3211</v>
      </c>
      <c r="B1318" t="str">
        <f>"Técnico de equipamento de diagnóstico e terapêutico"</f>
        <v>Técnico de equipamento de diagnóstico e terapêutico</v>
      </c>
      <c r="C1318" t="s">
        <v>1787</v>
      </c>
    </row>
    <row r="1319" spans="1:3" x14ac:dyDescent="0.25">
      <c r="A1319" t="str">
        <f>"3211.1"</f>
        <v>3211.1</v>
      </c>
      <c r="B1319" t="str">
        <f>"Técnico de cardiopneumografia"</f>
        <v>Técnico de cardiopneumografia</v>
      </c>
      <c r="C1319" t="s">
        <v>1788</v>
      </c>
    </row>
    <row r="1320" spans="1:3" x14ac:dyDescent="0.25">
      <c r="A1320" t="str">
        <f>"3211.2"</f>
        <v>3211.2</v>
      </c>
      <c r="B1320" t="str">
        <f>"Técnico de radiologia"</f>
        <v>Técnico de radiologia</v>
      </c>
      <c r="C1320" t="s">
        <v>1789</v>
      </c>
    </row>
    <row r="1321" spans="1:3" x14ac:dyDescent="0.25">
      <c r="A1321" t="str">
        <f>"3211.3"</f>
        <v>3211.3</v>
      </c>
      <c r="B1321" t="str">
        <f>"Técnico de medicina nuclear"</f>
        <v>Técnico de medicina nuclear</v>
      </c>
      <c r="C1321" t="s">
        <v>1790</v>
      </c>
    </row>
    <row r="1322" spans="1:3" x14ac:dyDescent="0.25">
      <c r="A1322" t="str">
        <f>"3211.4"</f>
        <v>3211.4</v>
      </c>
      <c r="B1322" t="str">
        <f>"Técnico de radioterapia"</f>
        <v>Técnico de radioterapia</v>
      </c>
      <c r="C1322" t="s">
        <v>1791</v>
      </c>
    </row>
    <row r="1323" spans="1:3" x14ac:dyDescent="0.25">
      <c r="A1323" t="str">
        <f>"3211.5"</f>
        <v>3211.5</v>
      </c>
      <c r="B1323" t="str">
        <f>"Outros técnicos de equipamento de diagnóstico e terapêutico"</f>
        <v>Outros técnicos de equipamento de diagnóstico e terapêutico</v>
      </c>
      <c r="C1323" t="s">
        <v>1792</v>
      </c>
    </row>
    <row r="1324" spans="1:3" x14ac:dyDescent="0.25">
      <c r="A1324" t="str">
        <f>"3212"</f>
        <v>3212</v>
      </c>
      <c r="B1324" t="str">
        <f>"Técnicos de laboratório de anatomia patológica e medicina"</f>
        <v>Técnicos de laboratório de anatomia patológica e medicina</v>
      </c>
      <c r="C1324" t="s">
        <v>1793</v>
      </c>
    </row>
    <row r="1325" spans="1:3" x14ac:dyDescent="0.25">
      <c r="A1325" t="str">
        <f>"3212.1"</f>
        <v>3212.1</v>
      </c>
      <c r="B1325" t="str">
        <f>"Técnico de análises clínicas "</f>
        <v xml:space="preserve">Técnico de análises clínicas </v>
      </c>
      <c r="C1325" t="s">
        <v>1794</v>
      </c>
    </row>
    <row r="1326" spans="1:3" x14ac:dyDescent="0.25">
      <c r="A1326" t="str">
        <f>"3212.2"</f>
        <v>3212.2</v>
      </c>
      <c r="B1326" t="str">
        <f>"Técnico de anatomia patológica, citológica e tanatológica"</f>
        <v>Técnico de anatomia patológica, citológica e tanatológica</v>
      </c>
      <c r="C1326" t="s">
        <v>1795</v>
      </c>
    </row>
    <row r="1327" spans="1:3" x14ac:dyDescent="0.25">
      <c r="A1327" t="str">
        <f>"3213"</f>
        <v>3213</v>
      </c>
      <c r="B1327" t="str">
        <f>"Técnicos e assistentes farmacêuticos "</f>
        <v xml:space="preserve">Técnicos e assistentes farmacêuticos </v>
      </c>
      <c r="C1327" t="s">
        <v>1796</v>
      </c>
    </row>
    <row r="1328" spans="1:3" x14ac:dyDescent="0.25">
      <c r="A1328" t="str">
        <f>"3213.0"</f>
        <v>3213.0</v>
      </c>
      <c r="B1328" t="str">
        <f>"Técnicos e assistentes farmacêuticos "</f>
        <v xml:space="preserve">Técnicos e assistentes farmacêuticos </v>
      </c>
      <c r="C1328" t="s">
        <v>1797</v>
      </c>
    </row>
    <row r="1329" spans="1:3" x14ac:dyDescent="0.25">
      <c r="A1329" t="str">
        <f>"3214"</f>
        <v>3214</v>
      </c>
      <c r="B1329" t="str">
        <f>"Técnico de próteses médicas e dentárias"</f>
        <v>Técnico de próteses médicas e dentárias</v>
      </c>
      <c r="C1329" t="s">
        <v>1798</v>
      </c>
    </row>
    <row r="1330" spans="1:3" x14ac:dyDescent="0.25">
      <c r="A1330" t="str">
        <f>"3214.0"</f>
        <v>3214.0</v>
      </c>
      <c r="B1330" t="str">
        <f>"Técnico de próteses médicas e dentárias"</f>
        <v>Técnico de próteses médicas e dentárias</v>
      </c>
      <c r="C1330" t="s">
        <v>1799</v>
      </c>
    </row>
    <row r="1331" spans="1:3" x14ac:dyDescent="0.25">
      <c r="A1331" t="str">
        <f>"322"</f>
        <v>322</v>
      </c>
      <c r="B1331" t="str">
        <f>"Auxiliares de enfermagem e parteiras"</f>
        <v>Auxiliares de enfermagem e parteiras</v>
      </c>
      <c r="C1331" t="s">
        <v>1800</v>
      </c>
    </row>
    <row r="1332" spans="1:3" x14ac:dyDescent="0.25">
      <c r="A1332" t="str">
        <f>"3221"</f>
        <v>3221</v>
      </c>
      <c r="B1332" t="str">
        <f>"Auxiliar de enfermagem "</f>
        <v xml:space="preserve">Auxiliar de enfermagem </v>
      </c>
      <c r="C1332" t="s">
        <v>1801</v>
      </c>
    </row>
    <row r="1333" spans="1:3" x14ac:dyDescent="0.25">
      <c r="A1333" t="str">
        <f>"3221.0"</f>
        <v>3221.0</v>
      </c>
      <c r="B1333" t="str">
        <f>"Auxiliar de enfermagem "</f>
        <v xml:space="preserve">Auxiliar de enfermagem </v>
      </c>
      <c r="C1333" t="s">
        <v>1802</v>
      </c>
    </row>
    <row r="1334" spans="1:3" x14ac:dyDescent="0.25">
      <c r="A1334" t="str">
        <f>"3222"</f>
        <v>3222</v>
      </c>
      <c r="B1334" t="str">
        <f>"Parteira"</f>
        <v>Parteira</v>
      </c>
      <c r="C1334" t="s">
        <v>1803</v>
      </c>
    </row>
    <row r="1335" spans="1:3" x14ac:dyDescent="0.25">
      <c r="A1335" t="str">
        <f>"3222.0"</f>
        <v>3222.0</v>
      </c>
      <c r="B1335" t="str">
        <f>"Parteira"</f>
        <v>Parteira</v>
      </c>
      <c r="C1335" t="s">
        <v>1804</v>
      </c>
    </row>
    <row r="1336" spans="1:3" x14ac:dyDescent="0.25">
      <c r="A1336" t="str">
        <f>"323"</f>
        <v>323</v>
      </c>
      <c r="B1336" t="str">
        <f>"Profissionais de nível intermédio da medicina tradicional e complementar"</f>
        <v>Profissionais de nível intermédio da medicina tradicional e complementar</v>
      </c>
      <c r="C1336" t="s">
        <v>1805</v>
      </c>
    </row>
    <row r="1337" spans="1:3" x14ac:dyDescent="0.25">
      <c r="A1337" t="str">
        <f>"3230"</f>
        <v>3230</v>
      </c>
      <c r="B1337" t="str">
        <f>"Profissionais de nível intermédio da medicina tradicional e complementar"</f>
        <v>Profissionais de nível intermédio da medicina tradicional e complementar</v>
      </c>
      <c r="C1337" t="s">
        <v>1806</v>
      </c>
    </row>
    <row r="1338" spans="1:3" x14ac:dyDescent="0.25">
      <c r="A1338" t="str">
        <f>"3230.0"</f>
        <v>3230.0</v>
      </c>
      <c r="B1338" t="str">
        <f>"Profissionais de nível intermédio da medicina tradicional e complementar"</f>
        <v>Profissionais de nível intermédio da medicina tradicional e complementar</v>
      </c>
      <c r="C1338" t="s">
        <v>1807</v>
      </c>
    </row>
    <row r="1339" spans="1:3" x14ac:dyDescent="0.25">
      <c r="A1339" t="str">
        <f>"324"</f>
        <v>324</v>
      </c>
      <c r="B1339" t="str">
        <f>"Técnico e assistente de veterinários"</f>
        <v>Técnico e assistente de veterinários</v>
      </c>
      <c r="C1339" t="s">
        <v>1808</v>
      </c>
    </row>
    <row r="1340" spans="1:3" x14ac:dyDescent="0.25">
      <c r="A1340" t="str">
        <f>"3240"</f>
        <v>3240</v>
      </c>
      <c r="B1340" t="str">
        <f>"Técnico e assistente de veterinários"</f>
        <v>Técnico e assistente de veterinários</v>
      </c>
      <c r="C1340" t="s">
        <v>1809</v>
      </c>
    </row>
    <row r="1341" spans="1:3" x14ac:dyDescent="0.25">
      <c r="A1341" t="str">
        <f>"3240.0"</f>
        <v>3240.0</v>
      </c>
      <c r="B1341" t="str">
        <f>"Técnico e assistente de veterinários"</f>
        <v>Técnico e assistente de veterinários</v>
      </c>
      <c r="C1341" t="s">
        <v>1810</v>
      </c>
    </row>
    <row r="1342" spans="1:3" x14ac:dyDescent="0.25">
      <c r="A1342" t="str">
        <f>"325"</f>
        <v>325</v>
      </c>
      <c r="B1342" t="str">
        <f>"Outros profissionais de nível intermédio da saúde"</f>
        <v>Outros profissionais de nível intermédio da saúde</v>
      </c>
      <c r="C1342" t="s">
        <v>1811</v>
      </c>
    </row>
    <row r="1343" spans="1:3" x14ac:dyDescent="0.25">
      <c r="A1343" t="str">
        <f>"3251"</f>
        <v>3251</v>
      </c>
      <c r="B1343" t="str">
        <f>"Terapeuta e assistente dentário "</f>
        <v xml:space="preserve">Terapeuta e assistente dentário </v>
      </c>
      <c r="C1343" t="s">
        <v>1812</v>
      </c>
    </row>
    <row r="1344" spans="1:3" x14ac:dyDescent="0.25">
      <c r="A1344" t="str">
        <f>"3251.0"</f>
        <v>3251.0</v>
      </c>
      <c r="B1344" t="str">
        <f>"Terapeuta e assistente dentário "</f>
        <v xml:space="preserve">Terapeuta e assistente dentário </v>
      </c>
      <c r="C1344" t="s">
        <v>1813</v>
      </c>
    </row>
    <row r="1345" spans="1:3" x14ac:dyDescent="0.25">
      <c r="A1345" t="str">
        <f>"3252"</f>
        <v>3252</v>
      </c>
      <c r="B1345" t="str">
        <f>"Técnico de registos médicos e de informação sobre saúde"</f>
        <v>Técnico de registos médicos e de informação sobre saúde</v>
      </c>
      <c r="C1345" t="s">
        <v>1814</v>
      </c>
    </row>
    <row r="1346" spans="1:3" x14ac:dyDescent="0.25">
      <c r="A1346" t="str">
        <f>"3252.0"</f>
        <v>3252.0</v>
      </c>
      <c r="B1346" t="str">
        <f>"Técnico de registos médicos e de informação sobre saúde"</f>
        <v>Técnico de registos médicos e de informação sobre saúde</v>
      </c>
      <c r="C1346" t="s">
        <v>1815</v>
      </c>
    </row>
    <row r="1347" spans="1:3" x14ac:dyDescent="0.25">
      <c r="A1347" t="str">
        <f>"3253"</f>
        <v>3253</v>
      </c>
      <c r="B1347" t="str">
        <f>"Técnico dos serviços de saúde comunitária"</f>
        <v>Técnico dos serviços de saúde comunitária</v>
      </c>
      <c r="C1347" t="s">
        <v>1816</v>
      </c>
    </row>
    <row r="1348" spans="1:3" x14ac:dyDescent="0.25">
      <c r="A1348" t="str">
        <f>"3253.0"</f>
        <v>3253.0</v>
      </c>
      <c r="B1348" t="str">
        <f>"Técnico dos serviços de saúde comunitária"</f>
        <v>Técnico dos serviços de saúde comunitária</v>
      </c>
      <c r="C1348" t="s">
        <v>1817</v>
      </c>
    </row>
    <row r="1349" spans="1:3" x14ac:dyDescent="0.25">
      <c r="A1349" t="str">
        <f>"3254"</f>
        <v>3254</v>
      </c>
      <c r="B1349" t="str">
        <f>"Técnicos de óptica ocular e de contactologia"</f>
        <v>Técnicos de óptica ocular e de contactologia</v>
      </c>
      <c r="C1349" t="s">
        <v>1818</v>
      </c>
    </row>
    <row r="1350" spans="1:3" x14ac:dyDescent="0.25">
      <c r="A1350" t="str">
        <f>"3254.1"</f>
        <v>3254.1</v>
      </c>
      <c r="B1350" t="str">
        <f>"Técnico de óptica ocular"</f>
        <v>Técnico de óptica ocular</v>
      </c>
      <c r="C1350" t="s">
        <v>1819</v>
      </c>
    </row>
    <row r="1351" spans="1:3" x14ac:dyDescent="0.25">
      <c r="A1351" t="str">
        <f>"3254.2"</f>
        <v>3254.2</v>
      </c>
      <c r="B1351" t="str">
        <f>"Técnico de contactologia"</f>
        <v>Técnico de contactologia</v>
      </c>
      <c r="C1351" t="s">
        <v>1820</v>
      </c>
    </row>
    <row r="1352" spans="1:3" x14ac:dyDescent="0.25">
      <c r="A1352" t="str">
        <f>"3255"</f>
        <v>3255</v>
      </c>
      <c r="B1352" t="str">
        <f>"Técnico e assistente, de fisioterapia e similares"</f>
        <v>Técnico e assistente, de fisioterapia e similares</v>
      </c>
      <c r="C1352" t="s">
        <v>1821</v>
      </c>
    </row>
    <row r="1353" spans="1:3" x14ac:dyDescent="0.25">
      <c r="A1353" t="str">
        <f>"3255.0"</f>
        <v>3255.0</v>
      </c>
      <c r="B1353" t="str">
        <f>"Técnico e assistente, de fisioterapia e similares"</f>
        <v>Técnico e assistente, de fisioterapia e similares</v>
      </c>
      <c r="C1353" t="s">
        <v>1822</v>
      </c>
    </row>
    <row r="1354" spans="1:3" x14ac:dyDescent="0.25">
      <c r="A1354" t="str">
        <f>"3256"</f>
        <v>3256</v>
      </c>
      <c r="B1354" t="str">
        <f>"Assistente de médicos "</f>
        <v xml:space="preserve">Assistente de médicos </v>
      </c>
      <c r="C1354" t="s">
        <v>1823</v>
      </c>
    </row>
    <row r="1355" spans="1:3" x14ac:dyDescent="0.25">
      <c r="A1355" t="str">
        <f>"3256.0"</f>
        <v>3256.0</v>
      </c>
      <c r="B1355" t="str">
        <f>"Assistente de médicos "</f>
        <v xml:space="preserve">Assistente de médicos </v>
      </c>
      <c r="C1355" t="s">
        <v>1824</v>
      </c>
    </row>
    <row r="1356" spans="1:3" x14ac:dyDescent="0.25">
      <c r="A1356" t="str">
        <f>"3257"</f>
        <v>3257</v>
      </c>
      <c r="B1356" t="str">
        <f>"Inspectores e técnicos, da saúde, do trabalho e ambiente"</f>
        <v>Inspectores e técnicos, da saúde, do trabalho e ambiente</v>
      </c>
      <c r="C1356" t="s">
        <v>1825</v>
      </c>
    </row>
    <row r="1357" spans="1:3" x14ac:dyDescent="0.25">
      <c r="A1357" t="str">
        <f>"3257.0"</f>
        <v>3257.0</v>
      </c>
      <c r="B1357" t="str">
        <f>"Inspectores e técnicos, da saúde, do trabalho e ambiente"</f>
        <v>Inspectores e técnicos, da saúde, do trabalho e ambiente</v>
      </c>
      <c r="C1357" t="s">
        <v>1826</v>
      </c>
    </row>
    <row r="1358" spans="1:3" x14ac:dyDescent="0.25">
      <c r="A1358" t="str">
        <f>"3258"</f>
        <v>3258</v>
      </c>
      <c r="B1358" t="str">
        <f>"Pessoal de ambulâncias"</f>
        <v>Pessoal de ambulâncias</v>
      </c>
      <c r="C1358" t="s">
        <v>1827</v>
      </c>
    </row>
    <row r="1359" spans="1:3" x14ac:dyDescent="0.25">
      <c r="A1359" t="str">
        <f>"3258.0"</f>
        <v>3258.0</v>
      </c>
      <c r="B1359" t="str">
        <f>"Pessoal de ambulâncias"</f>
        <v>Pessoal de ambulâncias</v>
      </c>
      <c r="C1359" t="s">
        <v>1828</v>
      </c>
    </row>
    <row r="1360" spans="1:3" x14ac:dyDescent="0.25">
      <c r="A1360" t="str">
        <f>"3259"</f>
        <v>3259</v>
      </c>
      <c r="B1360" t="str">
        <f>"Outros profissionais de nível intermédio da saúde, n.e."</f>
        <v>Outros profissionais de nível intermédio da saúde, n.e.</v>
      </c>
      <c r="C1360" t="s">
        <v>1829</v>
      </c>
    </row>
    <row r="1361" spans="1:3" x14ac:dyDescent="0.25">
      <c r="A1361" t="str">
        <f>"3259.0"</f>
        <v>3259.0</v>
      </c>
      <c r="B1361" t="str">
        <f>"Outros profissionais de nível intermédio da saúde, n.e."</f>
        <v>Outros profissionais de nível intermédio da saúde, n.e.</v>
      </c>
      <c r="C1361" t="s">
        <v>1830</v>
      </c>
    </row>
    <row r="1362" spans="1:3" x14ac:dyDescent="0.25">
      <c r="A1362" t="str">
        <f>"33"</f>
        <v>33</v>
      </c>
      <c r="B1362" t="str">
        <f>"Técnicos de nível intermédio, das áreas financeira, administrativa e dos negócios"</f>
        <v>Técnicos de nível intermédio, das áreas financeira, administrativa e dos negócios</v>
      </c>
      <c r="C1362" t="s">
        <v>1831</v>
      </c>
    </row>
    <row r="1363" spans="1:3" x14ac:dyDescent="0.25">
      <c r="A1363" t="str">
        <f>"331"</f>
        <v>331</v>
      </c>
      <c r="B1363" t="str">
        <f>"Técnicos de nível intermédio da área financeira e matemática"</f>
        <v>Técnicos de nível intermédio da área financeira e matemática</v>
      </c>
      <c r="C1363" t="s">
        <v>1832</v>
      </c>
    </row>
    <row r="1364" spans="1:3" x14ac:dyDescent="0.25">
      <c r="A1364" t="str">
        <f>"3311"</f>
        <v>3311</v>
      </c>
      <c r="B1364" t="str">
        <f>"Corretor de bolsa, cambista e similares"</f>
        <v>Corretor de bolsa, cambista e similares</v>
      </c>
      <c r="C1364" t="s">
        <v>1833</v>
      </c>
    </row>
    <row r="1365" spans="1:3" x14ac:dyDescent="0.25">
      <c r="A1365" t="str">
        <f>"3311.0"</f>
        <v>3311.0</v>
      </c>
      <c r="B1365" t="str">
        <f>"Corretor de bolsa, cambista e similares"</f>
        <v>Corretor de bolsa, cambista e similares</v>
      </c>
      <c r="C1365" t="s">
        <v>1834</v>
      </c>
    </row>
    <row r="1366" spans="1:3" x14ac:dyDescent="0.25">
      <c r="A1366" t="str">
        <f>"3312"</f>
        <v>3312</v>
      </c>
      <c r="B1366" t="str">
        <f>"Agentes de crédito e empréstimos "</f>
        <v xml:space="preserve">Agentes de crédito e empréstimos </v>
      </c>
      <c r="C1366" t="s">
        <v>1835</v>
      </c>
    </row>
    <row r="1367" spans="1:3" x14ac:dyDescent="0.25">
      <c r="A1367" t="str">
        <f>"3312.0"</f>
        <v>3312.0</v>
      </c>
      <c r="B1367" t="str">
        <f>"Agentes de crédito e empréstimos "</f>
        <v xml:space="preserve">Agentes de crédito e empréstimos </v>
      </c>
      <c r="C1367" t="s">
        <v>1836</v>
      </c>
    </row>
    <row r="1368" spans="1:3" x14ac:dyDescent="0.25">
      <c r="A1368" t="str">
        <f>"3313"</f>
        <v>3313</v>
      </c>
      <c r="B1368" t="str">
        <f>"Técnicos administrativos de contabilidade"</f>
        <v>Técnicos administrativos de contabilidade</v>
      </c>
      <c r="C1368" t="s">
        <v>1837</v>
      </c>
    </row>
    <row r="1369" spans="1:3" x14ac:dyDescent="0.25">
      <c r="A1369" t="str">
        <f>"3313.1"</f>
        <v>3313.1</v>
      </c>
      <c r="B1369" t="str">
        <f>"Tesoureiro"</f>
        <v>Tesoureiro</v>
      </c>
      <c r="C1369" t="s">
        <v>1838</v>
      </c>
    </row>
    <row r="1370" spans="1:3" x14ac:dyDescent="0.25">
      <c r="A1370" t="str">
        <f>"3313.2"</f>
        <v>3313.2</v>
      </c>
      <c r="B1370" t="str">
        <f>"Outros técnicos administrativos de contabilidade "</f>
        <v xml:space="preserve">Outros técnicos administrativos de contabilidade </v>
      </c>
      <c r="C1370" t="s">
        <v>1839</v>
      </c>
    </row>
    <row r="1371" spans="1:3" x14ac:dyDescent="0.25">
      <c r="A1371" t="str">
        <f>"3314"</f>
        <v>3314</v>
      </c>
      <c r="B1371" t="str">
        <f>"Técnicos de nível intermédio, de estatística, matemática e similares"</f>
        <v>Técnicos de nível intermédio, de estatística, matemática e similares</v>
      </c>
      <c r="C1371" t="s">
        <v>1840</v>
      </c>
    </row>
    <row r="1372" spans="1:3" x14ac:dyDescent="0.25">
      <c r="A1372" t="str">
        <f>"3314.0"</f>
        <v>3314.0</v>
      </c>
      <c r="B1372" t="str">
        <f>"Técnicos de nível intermédio, de estatística, matemática e similares"</f>
        <v>Técnicos de nível intermédio, de estatística, matemática e similares</v>
      </c>
      <c r="C1372" t="s">
        <v>1841</v>
      </c>
    </row>
    <row r="1373" spans="1:3" x14ac:dyDescent="0.25">
      <c r="A1373" t="str">
        <f>"3315"</f>
        <v>3315</v>
      </c>
      <c r="B1373" t="str">
        <f>"Avaliador de imóveis, seguros e outros bens  "</f>
        <v xml:space="preserve">Avaliador de imóveis, seguros e outros bens  </v>
      </c>
      <c r="C1373" t="s">
        <v>1842</v>
      </c>
    </row>
    <row r="1374" spans="1:3" x14ac:dyDescent="0.25">
      <c r="A1374" t="str">
        <f>"3315.0"</f>
        <v>3315.0</v>
      </c>
      <c r="B1374" t="str">
        <f>"Avaliador de imóveis, seguros e outros bens  "</f>
        <v xml:space="preserve">Avaliador de imóveis, seguros e outros bens  </v>
      </c>
      <c r="C1374" t="s">
        <v>1843</v>
      </c>
    </row>
    <row r="1375" spans="1:3" x14ac:dyDescent="0.25">
      <c r="A1375" t="str">
        <f>"332"</f>
        <v>332</v>
      </c>
      <c r="B1375" t="str">
        <f>"Agentes de compras, de vendas e corretores comerciais"</f>
        <v>Agentes de compras, de vendas e corretores comerciais</v>
      </c>
      <c r="C1375" t="s">
        <v>1844</v>
      </c>
    </row>
    <row r="1376" spans="1:3" x14ac:dyDescent="0.25">
      <c r="A1376" t="str">
        <f>"3321"</f>
        <v>3321</v>
      </c>
      <c r="B1376" t="str">
        <f>"Agente de seguros "</f>
        <v xml:space="preserve">Agente de seguros </v>
      </c>
      <c r="C1376" t="s">
        <v>1845</v>
      </c>
    </row>
    <row r="1377" spans="1:3" x14ac:dyDescent="0.25">
      <c r="A1377" t="str">
        <f>"3321.0"</f>
        <v>3321.0</v>
      </c>
      <c r="B1377" t="str">
        <f>"Agente de seguros "</f>
        <v xml:space="preserve">Agente de seguros </v>
      </c>
      <c r="C1377" t="s">
        <v>1846</v>
      </c>
    </row>
    <row r="1378" spans="1:3" x14ac:dyDescent="0.25">
      <c r="A1378" t="str">
        <f>"3322"</f>
        <v>3322</v>
      </c>
      <c r="B1378" t="str">
        <f>"Representante comercial "</f>
        <v xml:space="preserve">Representante comercial </v>
      </c>
      <c r="C1378" t="s">
        <v>1847</v>
      </c>
    </row>
    <row r="1379" spans="1:3" x14ac:dyDescent="0.25">
      <c r="A1379" t="str">
        <f>"3322.0"</f>
        <v>3322.0</v>
      </c>
      <c r="B1379" t="str">
        <f>"Representante comercial "</f>
        <v xml:space="preserve">Representante comercial </v>
      </c>
      <c r="C1379" t="s">
        <v>1848</v>
      </c>
    </row>
    <row r="1380" spans="1:3" x14ac:dyDescent="0.25">
      <c r="A1380" t="str">
        <f>"3323"</f>
        <v>3323</v>
      </c>
      <c r="B1380" t="str">
        <f>"Técnico de compras"</f>
        <v>Técnico de compras</v>
      </c>
      <c r="C1380" t="s">
        <v>1849</v>
      </c>
    </row>
    <row r="1381" spans="1:3" x14ac:dyDescent="0.25">
      <c r="A1381" t="str">
        <f>"3323.0"</f>
        <v>3323.0</v>
      </c>
      <c r="B1381" t="str">
        <f>"Técnico de compras"</f>
        <v>Técnico de compras</v>
      </c>
      <c r="C1381" t="s">
        <v>1850</v>
      </c>
    </row>
    <row r="1382" spans="1:3" x14ac:dyDescent="0.25">
      <c r="A1382" t="str">
        <f>"3324"</f>
        <v>3324</v>
      </c>
      <c r="B1382" t="str">
        <f>"Corretor comercial "</f>
        <v xml:space="preserve">Corretor comercial </v>
      </c>
      <c r="C1382" t="s">
        <v>1851</v>
      </c>
    </row>
    <row r="1383" spans="1:3" x14ac:dyDescent="0.25">
      <c r="A1383" t="str">
        <f>"3324.0"</f>
        <v>3324.0</v>
      </c>
      <c r="B1383" t="str">
        <f>"Corretor comercial "</f>
        <v xml:space="preserve">Corretor comercial </v>
      </c>
      <c r="C1383" t="s">
        <v>1852</v>
      </c>
    </row>
    <row r="1384" spans="1:3" x14ac:dyDescent="0.25">
      <c r="A1384" t="str">
        <f>"333"</f>
        <v>333</v>
      </c>
      <c r="B1384" t="str">
        <f>"Agentes de negócios"</f>
        <v>Agentes de negócios</v>
      </c>
      <c r="C1384" t="s">
        <v>1853</v>
      </c>
    </row>
    <row r="1385" spans="1:3" x14ac:dyDescent="0.25">
      <c r="A1385" t="str">
        <f>"3331"</f>
        <v>3331</v>
      </c>
      <c r="B1385" t="str">
        <f>"Despachante, transitário e similares"</f>
        <v>Despachante, transitário e similares</v>
      </c>
      <c r="C1385" t="s">
        <v>1854</v>
      </c>
    </row>
    <row r="1386" spans="1:3" x14ac:dyDescent="0.25">
      <c r="A1386" t="str">
        <f>"3331.0"</f>
        <v>3331.0</v>
      </c>
      <c r="B1386" t="str">
        <f>"Despachante, transitário e similares"</f>
        <v>Despachante, transitário e similares</v>
      </c>
      <c r="C1386" t="s">
        <v>1855</v>
      </c>
    </row>
    <row r="1387" spans="1:3" x14ac:dyDescent="0.25">
      <c r="A1387" t="str">
        <f>"3332"</f>
        <v>3332</v>
      </c>
      <c r="B1387" t="str">
        <f>"Organizador de conferências e eventos"</f>
        <v>Organizador de conferências e eventos</v>
      </c>
      <c r="C1387" t="s">
        <v>1856</v>
      </c>
    </row>
    <row r="1388" spans="1:3" x14ac:dyDescent="0.25">
      <c r="A1388" t="str">
        <f>"3332.0"</f>
        <v>3332.0</v>
      </c>
      <c r="B1388" t="str">
        <f>"Organizador de conferências e eventos"</f>
        <v>Organizador de conferências e eventos</v>
      </c>
      <c r="C1388" t="s">
        <v>1857</v>
      </c>
    </row>
    <row r="1389" spans="1:3" x14ac:dyDescent="0.25">
      <c r="A1389" t="str">
        <f>"3333"</f>
        <v>3333</v>
      </c>
      <c r="B1389" t="str">
        <f>"Técnico da área do emprego "</f>
        <v xml:space="preserve">Técnico da área do emprego </v>
      </c>
      <c r="C1389" t="s">
        <v>1858</v>
      </c>
    </row>
    <row r="1390" spans="1:3" x14ac:dyDescent="0.25">
      <c r="A1390" t="str">
        <f>"3333.0"</f>
        <v>3333.0</v>
      </c>
      <c r="B1390" t="str">
        <f>"Técnico da área do emprego "</f>
        <v xml:space="preserve">Técnico da área do emprego </v>
      </c>
      <c r="C1390" t="s">
        <v>1859</v>
      </c>
    </row>
    <row r="1391" spans="1:3" x14ac:dyDescent="0.25">
      <c r="A1391" t="str">
        <f>"3334"</f>
        <v>3334</v>
      </c>
      <c r="B1391" t="str">
        <f>"Agente imobiliário e gestor de propriedades "</f>
        <v xml:space="preserve">Agente imobiliário e gestor de propriedades </v>
      </c>
      <c r="C1391" t="s">
        <v>1860</v>
      </c>
    </row>
    <row r="1392" spans="1:3" x14ac:dyDescent="0.25">
      <c r="A1392" t="str">
        <f>"3334.0"</f>
        <v>3334.0</v>
      </c>
      <c r="B1392" t="str">
        <f>"Agente imobiliário e gestor de propriedades "</f>
        <v xml:space="preserve">Agente imobiliário e gestor de propriedades </v>
      </c>
      <c r="C1392" t="s">
        <v>1861</v>
      </c>
    </row>
    <row r="1393" spans="1:3" x14ac:dyDescent="0.25">
      <c r="A1393" t="str">
        <f>"3339"</f>
        <v>3339</v>
      </c>
      <c r="B1393" t="str">
        <f>"Outros agentes de negócios "</f>
        <v xml:space="preserve">Outros agentes de negócios </v>
      </c>
      <c r="C1393" t="s">
        <v>1862</v>
      </c>
    </row>
    <row r="1394" spans="1:3" x14ac:dyDescent="0.25">
      <c r="A1394" t="str">
        <f>"3339.0"</f>
        <v>3339.0</v>
      </c>
      <c r="B1394" t="str">
        <f>"Outros agentes de negócios "</f>
        <v xml:space="preserve">Outros agentes de negócios </v>
      </c>
      <c r="C1394" t="s">
        <v>1863</v>
      </c>
    </row>
    <row r="1395" spans="1:3" x14ac:dyDescent="0.25">
      <c r="A1395" t="str">
        <f>"334"</f>
        <v>334</v>
      </c>
      <c r="B1395" t="str">
        <f>"Administrativos e secretários especializados "</f>
        <v xml:space="preserve">Administrativos e secretários especializados </v>
      </c>
      <c r="C1395" t="s">
        <v>1864</v>
      </c>
    </row>
    <row r="1396" spans="1:3" x14ac:dyDescent="0.25">
      <c r="A1396" t="str">
        <f>"3341"</f>
        <v>3341</v>
      </c>
      <c r="B1396" t="str">
        <f>"Supervisor de pessoal administrativo "</f>
        <v xml:space="preserve">Supervisor de pessoal administrativo </v>
      </c>
      <c r="C1396" t="s">
        <v>1865</v>
      </c>
    </row>
    <row r="1397" spans="1:3" x14ac:dyDescent="0.25">
      <c r="A1397" t="str">
        <f>"3341.1"</f>
        <v>3341.1</v>
      </c>
      <c r="B1397" t="str">
        <f>"Chefe de escritório "</f>
        <v xml:space="preserve">Chefe de escritório </v>
      </c>
      <c r="C1397" t="s">
        <v>1866</v>
      </c>
    </row>
    <row r="1398" spans="1:3" x14ac:dyDescent="0.25">
      <c r="A1398" t="str">
        <f>"3341.2"</f>
        <v>3341.2</v>
      </c>
      <c r="B1398" t="str">
        <f>"Encarregado de armazém "</f>
        <v xml:space="preserve">Encarregado de armazém </v>
      </c>
      <c r="C1398" t="s">
        <v>1867</v>
      </c>
    </row>
    <row r="1399" spans="1:3" x14ac:dyDescent="0.25">
      <c r="A1399" t="str">
        <f>"3341.3"</f>
        <v>3341.3</v>
      </c>
      <c r="B1399" t="str">
        <f>"Chefe de estação de correios "</f>
        <v xml:space="preserve">Chefe de estação de correios </v>
      </c>
      <c r="C1399" t="s">
        <v>1868</v>
      </c>
    </row>
    <row r="1400" spans="1:3" x14ac:dyDescent="0.25">
      <c r="A1400" t="str">
        <f>"3341.4"</f>
        <v>3341.4</v>
      </c>
      <c r="B1400" t="str">
        <f>"Fiscal e encarregado de portagem "</f>
        <v xml:space="preserve">Fiscal e encarregado de portagem </v>
      </c>
      <c r="C1400" t="s">
        <v>1869</v>
      </c>
    </row>
    <row r="1401" spans="1:3" x14ac:dyDescent="0.25">
      <c r="A1401" t="str">
        <f>"3341.5"</f>
        <v>3341.5</v>
      </c>
      <c r="B1401" t="str">
        <f>"Supervisor de cargas e descargas"</f>
        <v>Supervisor de cargas e descargas</v>
      </c>
      <c r="C1401" t="s">
        <v>1870</v>
      </c>
    </row>
    <row r="1402" spans="1:3" x14ac:dyDescent="0.25">
      <c r="A1402" t="str">
        <f>"3341.6"</f>
        <v>3341.6</v>
      </c>
      <c r="B1402" t="str">
        <f>"Outros supervisores de pessoal administrativo "</f>
        <v xml:space="preserve">Outros supervisores de pessoal administrativo </v>
      </c>
      <c r="C1402" t="s">
        <v>1871</v>
      </c>
    </row>
    <row r="1403" spans="1:3" x14ac:dyDescent="0.25">
      <c r="A1403" t="str">
        <f>"3342"</f>
        <v>3342</v>
      </c>
      <c r="B1403" t="str">
        <f>"Secretário da área jurídica"</f>
        <v>Secretário da área jurídica</v>
      </c>
      <c r="C1403" t="s">
        <v>1872</v>
      </c>
    </row>
    <row r="1404" spans="1:3" x14ac:dyDescent="0.25">
      <c r="A1404" t="str">
        <f>"3342.0"</f>
        <v>3342.0</v>
      </c>
      <c r="B1404" t="str">
        <f>"Secretário da área jurídica"</f>
        <v>Secretário da área jurídica</v>
      </c>
      <c r="C1404" t="s">
        <v>1873</v>
      </c>
    </row>
    <row r="1405" spans="1:3" x14ac:dyDescent="0.25">
      <c r="A1405" t="str">
        <f>"3343"</f>
        <v>3343</v>
      </c>
      <c r="B1405" t="str">
        <f>"Secretário administrativo e executivo"</f>
        <v>Secretário administrativo e executivo</v>
      </c>
      <c r="C1405" t="s">
        <v>1874</v>
      </c>
    </row>
    <row r="1406" spans="1:3" x14ac:dyDescent="0.25">
      <c r="A1406" t="str">
        <f>"3343.0"</f>
        <v>3343.0</v>
      </c>
      <c r="B1406" t="str">
        <f>"Secretário administrativo e executivo"</f>
        <v>Secretário administrativo e executivo</v>
      </c>
      <c r="C1406" t="s">
        <v>1875</v>
      </c>
    </row>
    <row r="1407" spans="1:3" x14ac:dyDescent="0.25">
      <c r="A1407" t="str">
        <f>"3344"</f>
        <v>3344</v>
      </c>
      <c r="B1407" t="str">
        <f>"Secretário da área da medicina "</f>
        <v xml:space="preserve">Secretário da área da medicina </v>
      </c>
      <c r="C1407" t="s">
        <v>1876</v>
      </c>
    </row>
    <row r="1408" spans="1:3" x14ac:dyDescent="0.25">
      <c r="A1408" t="str">
        <f>"3344.0"</f>
        <v>3344.0</v>
      </c>
      <c r="B1408" t="str">
        <f>"Secretário da área da medicina "</f>
        <v xml:space="preserve">Secretário da área da medicina </v>
      </c>
      <c r="C1408" t="s">
        <v>1877</v>
      </c>
    </row>
    <row r="1409" spans="1:3" x14ac:dyDescent="0.25">
      <c r="A1409" t="str">
        <f>"335"</f>
        <v>335</v>
      </c>
      <c r="B1409" t="str">
        <f>"Agentes de nível intermédio da Administração Pública, para aplicação da lei e similares"</f>
        <v>Agentes de nível intermédio da Administração Pública, para aplicação da lei e similares</v>
      </c>
      <c r="C1409" t="s">
        <v>1878</v>
      </c>
    </row>
    <row r="1410" spans="1:3" x14ac:dyDescent="0.25">
      <c r="A1410" t="str">
        <f>"3351"</f>
        <v>3351</v>
      </c>
      <c r="B1410" t="str">
        <f>"Inspector de alfândega e de fronteira"</f>
        <v>Inspector de alfândega e de fronteira</v>
      </c>
      <c r="C1410" t="s">
        <v>1879</v>
      </c>
    </row>
    <row r="1411" spans="1:3" x14ac:dyDescent="0.25">
      <c r="A1411" t="str">
        <f>"3351.0"</f>
        <v>3351.0</v>
      </c>
      <c r="B1411" t="str">
        <f>"Inspector de alfândega e de fronteira"</f>
        <v>Inspector de alfândega e de fronteira</v>
      </c>
      <c r="C1411" t="s">
        <v>1880</v>
      </c>
    </row>
    <row r="1412" spans="1:3" x14ac:dyDescent="0.25">
      <c r="A1412" t="str">
        <f>"3352"</f>
        <v>3352</v>
      </c>
      <c r="B1412" t="str">
        <f>"Agente da administração tributária "</f>
        <v xml:space="preserve">Agente da administração tributária </v>
      </c>
      <c r="C1412" t="s">
        <v>1881</v>
      </c>
    </row>
    <row r="1413" spans="1:3" x14ac:dyDescent="0.25">
      <c r="A1413" t="str">
        <f>"3352.0"</f>
        <v>3352.0</v>
      </c>
      <c r="B1413" t="str">
        <f>"Agente da administração tributária "</f>
        <v xml:space="preserve">Agente da administração tributária </v>
      </c>
      <c r="C1413" t="s">
        <v>1882</v>
      </c>
    </row>
    <row r="1414" spans="1:3" x14ac:dyDescent="0.25">
      <c r="A1414" t="str">
        <f>"3353"</f>
        <v>3353</v>
      </c>
      <c r="B1414" t="str">
        <f>"Agente de serviços da segurança social "</f>
        <v xml:space="preserve">Agente de serviços da segurança social </v>
      </c>
      <c r="C1414" t="s">
        <v>1883</v>
      </c>
    </row>
    <row r="1415" spans="1:3" x14ac:dyDescent="0.25">
      <c r="A1415" t="str">
        <f>"3353.0"</f>
        <v>3353.0</v>
      </c>
      <c r="B1415" t="str">
        <f>"Agente de serviços da segurança social "</f>
        <v xml:space="preserve">Agente de serviços da segurança social </v>
      </c>
      <c r="C1415" t="s">
        <v>1884</v>
      </c>
    </row>
    <row r="1416" spans="1:3" x14ac:dyDescent="0.25">
      <c r="A1416" t="str">
        <f>"3354"</f>
        <v>3354</v>
      </c>
      <c r="B1416" t="str">
        <f>"Agente de serviços de licenciamento "</f>
        <v xml:space="preserve">Agente de serviços de licenciamento </v>
      </c>
      <c r="C1416" t="s">
        <v>1885</v>
      </c>
    </row>
    <row r="1417" spans="1:3" x14ac:dyDescent="0.25">
      <c r="A1417" t="str">
        <f>"3354.0"</f>
        <v>3354.0</v>
      </c>
      <c r="B1417" t="str">
        <f>"Agente de serviços de licenciamento "</f>
        <v xml:space="preserve">Agente de serviços de licenciamento </v>
      </c>
      <c r="C1417" t="s">
        <v>1886</v>
      </c>
    </row>
    <row r="1418" spans="1:3" x14ac:dyDescent="0.25">
      <c r="A1418" t="str">
        <f>"3355"</f>
        <v>3355</v>
      </c>
      <c r="B1418" t="str">
        <f>"Inspector e detective da polícia"</f>
        <v>Inspector e detective da polícia</v>
      </c>
      <c r="C1418" t="s">
        <v>1887</v>
      </c>
    </row>
    <row r="1419" spans="1:3" x14ac:dyDescent="0.25">
      <c r="A1419" t="str">
        <f>"3355.0"</f>
        <v>3355.0</v>
      </c>
      <c r="B1419" t="str">
        <f>"Inspector e detective da polícia"</f>
        <v>Inspector e detective da polícia</v>
      </c>
      <c r="C1419" t="s">
        <v>1888</v>
      </c>
    </row>
    <row r="1420" spans="1:3" x14ac:dyDescent="0.25">
      <c r="A1420" t="str">
        <f>"3359"</f>
        <v>3359</v>
      </c>
      <c r="B1420" t="str">
        <f>"Outros agentes de nível intermédio da Administração Pública, para aplicação da lei e similares"</f>
        <v>Outros agentes de nível intermédio da Administração Pública, para aplicação da lei e similares</v>
      </c>
      <c r="C1420" t="s">
        <v>1889</v>
      </c>
    </row>
    <row r="1421" spans="1:3" x14ac:dyDescent="0.25">
      <c r="A1421" t="str">
        <f>"3359.0"</f>
        <v>3359.0</v>
      </c>
      <c r="B1421" t="str">
        <f>"Outros agentes de nível intermédio da Administração Pública, para aplicação da lei e similares"</f>
        <v>Outros agentes de nível intermédio da Administração Pública, para aplicação da lei e similares</v>
      </c>
      <c r="C1421" t="s">
        <v>1890</v>
      </c>
    </row>
    <row r="1422" spans="1:3" x14ac:dyDescent="0.25">
      <c r="A1422" t="str">
        <f>"34"</f>
        <v>34</v>
      </c>
      <c r="B1422" t="str">
        <f>"Técnicos de nível intermédio dos serviços jurídicos, sociais, desportivos, culturais e similares"</f>
        <v>Técnicos de nível intermédio dos serviços jurídicos, sociais, desportivos, culturais e similares</v>
      </c>
      <c r="C1422" t="s">
        <v>1891</v>
      </c>
    </row>
    <row r="1423" spans="1:3" x14ac:dyDescent="0.25">
      <c r="A1423" t="str">
        <f>"341"</f>
        <v>341</v>
      </c>
      <c r="B1423" t="str">
        <f>"Técnicos de nível intermédio dos serviços jurídicos, sociais e religiosos"</f>
        <v>Técnicos de nível intermédio dos serviços jurídicos, sociais e religiosos</v>
      </c>
      <c r="C1423" t="s">
        <v>1892</v>
      </c>
    </row>
    <row r="1424" spans="1:3" x14ac:dyDescent="0.25">
      <c r="A1424" t="str">
        <f>"3411"</f>
        <v>3411</v>
      </c>
      <c r="B1424" t="str">
        <f>"Técnico de nível intermédio dos serviços jurídicos e relacionados "</f>
        <v xml:space="preserve">Técnico de nível intermédio dos serviços jurídicos e relacionados </v>
      </c>
      <c r="C1424" t="s">
        <v>1893</v>
      </c>
    </row>
    <row r="1425" spans="1:3" x14ac:dyDescent="0.25">
      <c r="A1425" t="str">
        <f>"3411.0"</f>
        <v>3411.0</v>
      </c>
      <c r="B1425" t="str">
        <f>"Técnico de nível intermédio dos serviços jurídicos e relacionados "</f>
        <v xml:space="preserve">Técnico de nível intermédio dos serviços jurídicos e relacionados </v>
      </c>
      <c r="C1425" t="s">
        <v>1894</v>
      </c>
    </row>
    <row r="1426" spans="1:3" x14ac:dyDescent="0.25">
      <c r="A1426" t="str">
        <f>"3412"</f>
        <v>3412</v>
      </c>
      <c r="B1426" t="str">
        <f>"Técnico de nível intermédio de apoio social"</f>
        <v>Técnico de nível intermédio de apoio social</v>
      </c>
      <c r="C1426" t="s">
        <v>1895</v>
      </c>
    </row>
    <row r="1427" spans="1:3" x14ac:dyDescent="0.25">
      <c r="A1427" t="str">
        <f>"3412.0"</f>
        <v>3412.0</v>
      </c>
      <c r="B1427" t="str">
        <f>"Técnico de nível intermédio de apoio social"</f>
        <v>Técnico de nível intermédio de apoio social</v>
      </c>
      <c r="C1427" t="s">
        <v>1896</v>
      </c>
    </row>
    <row r="1428" spans="1:3" x14ac:dyDescent="0.25">
      <c r="A1428" t="str">
        <f>"3413"</f>
        <v>3413</v>
      </c>
      <c r="B1428" t="str">
        <f>"Membro de ordem religiosa e técnicos de apoio religioso"</f>
        <v>Membro de ordem religiosa e técnicos de apoio religioso</v>
      </c>
      <c r="C1428" t="s">
        <v>1897</v>
      </c>
    </row>
    <row r="1429" spans="1:3" x14ac:dyDescent="0.25">
      <c r="A1429" t="str">
        <f>"3413.0"</f>
        <v>3413.0</v>
      </c>
      <c r="B1429" t="str">
        <f>"Membro de ordem religiosa e técnicos de apoio religioso"</f>
        <v>Membro de ordem religiosa e técnicos de apoio religioso</v>
      </c>
      <c r="C1429" t="s">
        <v>1898</v>
      </c>
    </row>
    <row r="1430" spans="1:3" x14ac:dyDescent="0.25">
      <c r="A1430" t="str">
        <f>"342"</f>
        <v>342</v>
      </c>
      <c r="B1430" t="str">
        <f>"Técnicos de actividade física e de desporto "</f>
        <v xml:space="preserve">Técnicos de actividade física e de desporto </v>
      </c>
      <c r="C1430" t="s">
        <v>1899</v>
      </c>
    </row>
    <row r="1431" spans="1:3" x14ac:dyDescent="0.25">
      <c r="A1431" t="str">
        <f>"3421"</f>
        <v>3421</v>
      </c>
      <c r="B1431" t="str">
        <f>"Atletas e desportistas de competição "</f>
        <v xml:space="preserve">Atletas e desportistas de competição </v>
      </c>
      <c r="C1431" t="s">
        <v>1900</v>
      </c>
    </row>
    <row r="1432" spans="1:3" x14ac:dyDescent="0.25">
      <c r="A1432" t="str">
        <f>"3421.1"</f>
        <v>3421.1</v>
      </c>
      <c r="B1432" t="str">
        <f>"Jogador profissional de futebol "</f>
        <v xml:space="preserve">Jogador profissional de futebol </v>
      </c>
      <c r="C1432" t="s">
        <v>1901</v>
      </c>
    </row>
    <row r="1433" spans="1:3" x14ac:dyDescent="0.25">
      <c r="A1433" t="str">
        <f>"3421.2"</f>
        <v>3421.2</v>
      </c>
      <c r="B1433" t="str">
        <f>"Ciclista profissional"</f>
        <v>Ciclista profissional</v>
      </c>
      <c r="C1433" t="s">
        <v>1902</v>
      </c>
    </row>
    <row r="1434" spans="1:3" x14ac:dyDescent="0.25">
      <c r="A1434" t="str">
        <f>"3421.3"</f>
        <v>3421.3</v>
      </c>
      <c r="B1434" t="str">
        <f>"Outros atletas e desportistas de competição "</f>
        <v xml:space="preserve">Outros atletas e desportistas de competição </v>
      </c>
      <c r="C1434" t="s">
        <v>1903</v>
      </c>
    </row>
    <row r="1435" spans="1:3" x14ac:dyDescent="0.25">
      <c r="A1435" t="str">
        <f>"3422"</f>
        <v>3422</v>
      </c>
      <c r="B1435" t="str">
        <f>"Treinadores, instrutores e árbitros, de desportos"</f>
        <v>Treinadores, instrutores e árbitros, de desportos</v>
      </c>
      <c r="C1435" t="s">
        <v>1904</v>
      </c>
    </row>
    <row r="1436" spans="1:3" x14ac:dyDescent="0.25">
      <c r="A1436" t="str">
        <f>"3422.1"</f>
        <v>3422.1</v>
      </c>
      <c r="B1436" t="str">
        <f>"Treinador de desportos"</f>
        <v>Treinador de desportos</v>
      </c>
      <c r="C1436" t="s">
        <v>1905</v>
      </c>
    </row>
    <row r="1437" spans="1:3" x14ac:dyDescent="0.25">
      <c r="A1437" t="str">
        <f>"3422.2"</f>
        <v>3422.2</v>
      </c>
      <c r="B1437" t="str">
        <f>"Árbitro (juiz) de desportos"</f>
        <v>Árbitro (juiz) de desportos</v>
      </c>
      <c r="C1437" t="s">
        <v>1906</v>
      </c>
    </row>
    <row r="1438" spans="1:3" x14ac:dyDescent="0.25">
      <c r="A1438" t="str">
        <f>"3422.3"</f>
        <v>3422.3</v>
      </c>
      <c r="B1438" t="str">
        <f>"Instrutor de desportos "</f>
        <v xml:space="preserve">Instrutor de desportos </v>
      </c>
      <c r="C1438" t="s">
        <v>1907</v>
      </c>
    </row>
    <row r="1439" spans="1:3" x14ac:dyDescent="0.25">
      <c r="A1439" t="str">
        <f>"3423"</f>
        <v>3423</v>
      </c>
      <c r="B1439" t="str">
        <f>"Instrutores e monitores de actividade física e recreação "</f>
        <v xml:space="preserve">Instrutores e monitores de actividade física e recreação </v>
      </c>
      <c r="C1439" t="s">
        <v>1908</v>
      </c>
    </row>
    <row r="1440" spans="1:3" x14ac:dyDescent="0.25">
      <c r="A1440" t="str">
        <f>"3423.0"</f>
        <v>3423.0</v>
      </c>
      <c r="B1440" t="str">
        <f>"Instrutores e monitores de actividade física e recreação "</f>
        <v xml:space="preserve">Instrutores e monitores de actividade física e recreação </v>
      </c>
      <c r="C1440" t="s">
        <v>1909</v>
      </c>
    </row>
    <row r="1441" spans="1:3" x14ac:dyDescent="0.25">
      <c r="A1441" t="str">
        <f>"343"</f>
        <v>343</v>
      </c>
      <c r="B1441" t="str">
        <f>"Técnicos de nível intermédio das actividades culturais, artísticas e culinárias"</f>
        <v>Técnicos de nível intermédio das actividades culturais, artísticas e culinárias</v>
      </c>
      <c r="C1441" t="s">
        <v>1910</v>
      </c>
    </row>
    <row r="1442" spans="1:3" x14ac:dyDescent="0.25">
      <c r="A1442" t="str">
        <f>"3431"</f>
        <v>3431</v>
      </c>
      <c r="B1442" t="str">
        <f>"Fotógrafo"</f>
        <v>Fotógrafo</v>
      </c>
      <c r="C1442" t="s">
        <v>1911</v>
      </c>
    </row>
    <row r="1443" spans="1:3" x14ac:dyDescent="0.25">
      <c r="A1443" t="str">
        <f>"3431.0"</f>
        <v>3431.0</v>
      </c>
      <c r="B1443" t="str">
        <f>"Fotógrafo"</f>
        <v>Fotógrafo</v>
      </c>
      <c r="C1443" t="s">
        <v>1912</v>
      </c>
    </row>
    <row r="1444" spans="1:3" x14ac:dyDescent="0.25">
      <c r="A1444" t="str">
        <f>"3432"</f>
        <v>3432</v>
      </c>
      <c r="B1444" t="str">
        <f>"Decorador"</f>
        <v>Decorador</v>
      </c>
      <c r="C1444" t="s">
        <v>1913</v>
      </c>
    </row>
    <row r="1445" spans="1:3" x14ac:dyDescent="0.25">
      <c r="A1445" t="str">
        <f>"3432.0"</f>
        <v>3432.0</v>
      </c>
      <c r="B1445" t="str">
        <f>"Decorador"</f>
        <v>Decorador</v>
      </c>
      <c r="C1445" t="s">
        <v>1914</v>
      </c>
    </row>
    <row r="1446" spans="1:3" x14ac:dyDescent="0.25">
      <c r="A1446" t="str">
        <f>"3433"</f>
        <v>3433</v>
      </c>
      <c r="B1446" t="str">
        <f>"Técnicos de galerias, bibliotecas, arquivos e museus"</f>
        <v>Técnicos de galerias, bibliotecas, arquivos e museus</v>
      </c>
      <c r="C1446" t="s">
        <v>1915</v>
      </c>
    </row>
    <row r="1447" spans="1:3" x14ac:dyDescent="0.25">
      <c r="A1447" t="str">
        <f>"3433.0"</f>
        <v>3433.0</v>
      </c>
      <c r="B1447" t="str">
        <f>"Técnicos de galerias, bibliotecas, arquivos e museus"</f>
        <v>Técnicos de galerias, bibliotecas, arquivos e museus</v>
      </c>
      <c r="C1447" t="s">
        <v>1916</v>
      </c>
    </row>
    <row r="1448" spans="1:3" x14ac:dyDescent="0.25">
      <c r="A1448" t="str">
        <f>"3434"</f>
        <v>3434</v>
      </c>
      <c r="B1448" t="str">
        <f>"Chefe de cozinha"</f>
        <v>Chefe de cozinha</v>
      </c>
      <c r="C1448" t="s">
        <v>1917</v>
      </c>
    </row>
    <row r="1449" spans="1:3" x14ac:dyDescent="0.25">
      <c r="A1449" t="str">
        <f>"3434.0"</f>
        <v>3434.0</v>
      </c>
      <c r="B1449" t="str">
        <f>"Chefe de cozinha"</f>
        <v>Chefe de cozinha</v>
      </c>
      <c r="C1449" t="s">
        <v>1918</v>
      </c>
    </row>
    <row r="1450" spans="1:3" x14ac:dyDescent="0.25">
      <c r="A1450" t="str">
        <f>"3435"</f>
        <v>3435</v>
      </c>
      <c r="B1450" t="str">
        <f>"Outros técnicos de nível intermédio das actividades culturais e artísticas"</f>
        <v>Outros técnicos de nível intermédio das actividades culturais e artísticas</v>
      </c>
      <c r="C1450" t="s">
        <v>1919</v>
      </c>
    </row>
    <row r="1451" spans="1:3" x14ac:dyDescent="0.25">
      <c r="A1451" t="str">
        <f>"3435.1"</f>
        <v>3435.1</v>
      </c>
      <c r="B1451" t="str">
        <f>"Toureiro, cavaleiro tauromáquico e outros profissionais similares"</f>
        <v>Toureiro, cavaleiro tauromáquico e outros profissionais similares</v>
      </c>
      <c r="C1451" t="s">
        <v>1920</v>
      </c>
    </row>
    <row r="1452" spans="1:3" x14ac:dyDescent="0.25">
      <c r="A1452" t="str">
        <f>"3435.2"</f>
        <v>3435.2</v>
      </c>
      <c r="B1452" t="str">
        <f>"Outros técnicos de nível intermédio das actividades culturais e artísticas, n.e."</f>
        <v>Outros técnicos de nível intermédio das actividades culturais e artísticas, n.e.</v>
      </c>
      <c r="C1452" t="s">
        <v>1921</v>
      </c>
    </row>
    <row r="1453" spans="1:3" x14ac:dyDescent="0.25">
      <c r="A1453" t="str">
        <f>"35"</f>
        <v>35</v>
      </c>
      <c r="B1453" t="str">
        <f>"Técnicos das tecnologias de informação e comunicação "</f>
        <v xml:space="preserve">Técnicos das tecnologias de informação e comunicação </v>
      </c>
      <c r="C1453" t="s">
        <v>1922</v>
      </c>
    </row>
    <row r="1454" spans="1:3" x14ac:dyDescent="0.25">
      <c r="A1454" t="str">
        <f>"351"</f>
        <v>351</v>
      </c>
      <c r="B1454" t="str">
        <f>"Técnicos operadores das tecnologias de informação e comunicação e de apoio aos utilizadores "</f>
        <v xml:space="preserve">Técnicos operadores das tecnologias de informação e comunicação e de apoio aos utilizadores </v>
      </c>
      <c r="C1454" t="s">
        <v>1923</v>
      </c>
    </row>
    <row r="1455" spans="1:3" x14ac:dyDescent="0.25">
      <c r="A1455" t="str">
        <f>"3511"</f>
        <v>3511</v>
      </c>
      <c r="B1455" t="str">
        <f>"Técnico operador das tecnologias de informação e comunicação (TIC) "</f>
        <v xml:space="preserve">Técnico operador das tecnologias de informação e comunicação (TIC) </v>
      </c>
      <c r="C1455" t="s">
        <v>1924</v>
      </c>
    </row>
    <row r="1456" spans="1:3" x14ac:dyDescent="0.25">
      <c r="A1456" t="str">
        <f>"3511.0"</f>
        <v>3511.0</v>
      </c>
      <c r="B1456" t="str">
        <f>"Técnico operador das tecnologias de informação e comunicação (TIC) "</f>
        <v xml:space="preserve">Técnico operador das tecnologias de informação e comunicação (TIC) </v>
      </c>
      <c r="C1456" t="s">
        <v>1925</v>
      </c>
    </row>
    <row r="1457" spans="1:3" x14ac:dyDescent="0.25">
      <c r="A1457" t="str">
        <f>"3512"</f>
        <v>3512</v>
      </c>
      <c r="B1457" t="str">
        <f>"Técnico de apoio aos utilizadores das tecnologias da informação e comunicação (TIC)"</f>
        <v>Técnico de apoio aos utilizadores das tecnologias da informação e comunicação (TIC)</v>
      </c>
      <c r="C1457" t="s">
        <v>1926</v>
      </c>
    </row>
    <row r="1458" spans="1:3" x14ac:dyDescent="0.25">
      <c r="A1458" t="str">
        <f>"3512.0"</f>
        <v>3512.0</v>
      </c>
      <c r="B1458" t="str">
        <f>"Técnico de apoio aos utilizadores das tecnologias da informação e comunicação (TIC)"</f>
        <v>Técnico de apoio aos utilizadores das tecnologias da informação e comunicação (TIC)</v>
      </c>
      <c r="C1458" t="s">
        <v>1927</v>
      </c>
    </row>
    <row r="1459" spans="1:3" x14ac:dyDescent="0.25">
      <c r="A1459" t="str">
        <f>"3513"</f>
        <v>3513</v>
      </c>
      <c r="B1459" t="str">
        <f>"Técnico em redes e sistemas de computadores"</f>
        <v>Técnico em redes e sistemas de computadores</v>
      </c>
      <c r="C1459" t="s">
        <v>1928</v>
      </c>
    </row>
    <row r="1460" spans="1:3" x14ac:dyDescent="0.25">
      <c r="A1460" t="str">
        <f>"3513.0"</f>
        <v>3513.0</v>
      </c>
      <c r="B1460" t="str">
        <f>"Técnico em redes e sistemas de computadores"</f>
        <v>Técnico em redes e sistemas de computadores</v>
      </c>
      <c r="C1460" t="s">
        <v>1929</v>
      </c>
    </row>
    <row r="1461" spans="1:3" x14ac:dyDescent="0.25">
      <c r="A1461" t="str">
        <f>"3514"</f>
        <v>3514</v>
      </c>
      <c r="B1461" t="str">
        <f>"Técnico da Web"</f>
        <v>Técnico da Web</v>
      </c>
      <c r="C1461" t="s">
        <v>1930</v>
      </c>
    </row>
    <row r="1462" spans="1:3" x14ac:dyDescent="0.25">
      <c r="A1462" t="str">
        <f>"3514.0"</f>
        <v>3514.0</v>
      </c>
      <c r="B1462" t="str">
        <f>"Técnico da Web"</f>
        <v>Técnico da Web</v>
      </c>
      <c r="C1462" t="s">
        <v>1931</v>
      </c>
    </row>
    <row r="1463" spans="1:3" x14ac:dyDescent="0.25">
      <c r="A1463" t="str">
        <f>"352"</f>
        <v>352</v>
      </c>
      <c r="B1463" t="str">
        <f>"Técnicos das telecomunicações e da radiodifusão"</f>
        <v>Técnicos das telecomunicações e da radiodifusão</v>
      </c>
      <c r="C1463" t="s">
        <v>1932</v>
      </c>
    </row>
    <row r="1464" spans="1:3" x14ac:dyDescent="0.25">
      <c r="A1464" t="str">
        <f>"3521"</f>
        <v>3521</v>
      </c>
      <c r="B1464" t="str">
        <f>"Técnicos de emissões de rádio e televisão e de gravação audiovisual e de sistemas de comunicações via rádio "</f>
        <v xml:space="preserve">Técnicos de emissões de rádio e televisão e de gravação audiovisual e de sistemas de comunicações via rádio </v>
      </c>
      <c r="C1464" t="s">
        <v>1933</v>
      </c>
    </row>
    <row r="1465" spans="1:3" x14ac:dyDescent="0.25">
      <c r="A1465" t="str">
        <f>"3521.1"</f>
        <v>3521.1</v>
      </c>
      <c r="B1465" t="str">
        <f>"Técnico de emissões de rádio "</f>
        <v xml:space="preserve">Técnico de emissões de rádio </v>
      </c>
      <c r="C1465" t="s">
        <v>1934</v>
      </c>
    </row>
    <row r="1466" spans="1:3" x14ac:dyDescent="0.25">
      <c r="A1466" t="str">
        <f>"3521.2"</f>
        <v>3521.2</v>
      </c>
      <c r="B1466" t="str">
        <f>"Técnico de emissões de televisão "</f>
        <v xml:space="preserve">Técnico de emissões de televisão </v>
      </c>
      <c r="C1466" t="s">
        <v>1935</v>
      </c>
    </row>
    <row r="1467" spans="1:3" x14ac:dyDescent="0.25">
      <c r="A1467" t="str">
        <f>"3521.3"</f>
        <v>3521.3</v>
      </c>
      <c r="B1467" t="str">
        <f>"Técnico de gravação audiovisual "</f>
        <v xml:space="preserve">Técnico de gravação audiovisual </v>
      </c>
      <c r="C1467" t="s">
        <v>1936</v>
      </c>
    </row>
    <row r="1468" spans="1:3" x14ac:dyDescent="0.25">
      <c r="A1468" t="str">
        <f>"3521.4"</f>
        <v>3521.4</v>
      </c>
      <c r="B1468" t="str">
        <f>"Técnico de sistemas de comunicações via rádio "</f>
        <v xml:space="preserve">Técnico de sistemas de comunicações via rádio </v>
      </c>
      <c r="C1468" t="s">
        <v>1937</v>
      </c>
    </row>
    <row r="1469" spans="1:3" x14ac:dyDescent="0.25">
      <c r="A1469" t="str">
        <f>"3522"</f>
        <v>3522</v>
      </c>
      <c r="B1469" t="str">
        <f>"Técnico de telecomunicações"</f>
        <v>Técnico de telecomunicações</v>
      </c>
      <c r="C1469" t="s">
        <v>1938</v>
      </c>
    </row>
    <row r="1470" spans="1:3" x14ac:dyDescent="0.25">
      <c r="A1470" t="str">
        <f>"3522.0"</f>
        <v>3522.0</v>
      </c>
      <c r="B1470" t="str">
        <f>"Técnico de telecomunicações"</f>
        <v>Técnico de telecomunicações</v>
      </c>
      <c r="C1470" t="s">
        <v>1939</v>
      </c>
    </row>
    <row r="1471" spans="1:3" x14ac:dyDescent="0.25">
      <c r="A1471" t="str">
        <f>"4"</f>
        <v>4</v>
      </c>
      <c r="B1471" t="str">
        <f>"Pessoal administrativo"</f>
        <v>Pessoal administrativo</v>
      </c>
      <c r="C1471" t="s">
        <v>1940</v>
      </c>
    </row>
    <row r="1472" spans="1:3" x14ac:dyDescent="0.25">
      <c r="A1472" t="str">
        <f>"41"</f>
        <v>41</v>
      </c>
      <c r="B1472" t="str">
        <f>"Empregados de escritório, secretários em geral e operadores de processamento de dados "</f>
        <v xml:space="preserve">Empregados de escritório, secretários em geral e operadores de processamento de dados </v>
      </c>
      <c r="C1472" t="s">
        <v>1941</v>
      </c>
    </row>
    <row r="1473" spans="1:3" x14ac:dyDescent="0.25">
      <c r="A1473" t="str">
        <f>"411"</f>
        <v>411</v>
      </c>
      <c r="B1473" t="str">
        <f>"Empregado de escritório em geral"</f>
        <v>Empregado de escritório em geral</v>
      </c>
      <c r="C1473" t="s">
        <v>1942</v>
      </c>
    </row>
    <row r="1474" spans="1:3" x14ac:dyDescent="0.25">
      <c r="A1474" t="str">
        <f>"4110"</f>
        <v>4110</v>
      </c>
      <c r="B1474" t="str">
        <f>"Empregado de escritório em geral"</f>
        <v>Empregado de escritório em geral</v>
      </c>
      <c r="C1474" t="s">
        <v>1943</v>
      </c>
    </row>
    <row r="1475" spans="1:3" x14ac:dyDescent="0.25">
      <c r="A1475" t="str">
        <f>"4110.0"</f>
        <v>4110.0</v>
      </c>
      <c r="B1475" t="str">
        <f>"Empregado de escritório em geral"</f>
        <v>Empregado de escritório em geral</v>
      </c>
      <c r="C1475" t="s">
        <v>1944</v>
      </c>
    </row>
    <row r="1476" spans="1:3" x14ac:dyDescent="0.25">
      <c r="A1476" t="str">
        <f>"412"</f>
        <v>412</v>
      </c>
      <c r="B1476" t="str">
        <f>"Técnico de secretariado"</f>
        <v>Técnico de secretariado</v>
      </c>
      <c r="C1476" t="s">
        <v>1945</v>
      </c>
    </row>
    <row r="1477" spans="1:3" x14ac:dyDescent="0.25">
      <c r="A1477" t="str">
        <f>"4120"</f>
        <v>4120</v>
      </c>
      <c r="B1477" t="str">
        <f>"Técnico de secretariado"</f>
        <v>Técnico de secretariado</v>
      </c>
      <c r="C1477" t="s">
        <v>1946</v>
      </c>
    </row>
    <row r="1478" spans="1:3" x14ac:dyDescent="0.25">
      <c r="A1478" t="str">
        <f>"4120.0"</f>
        <v>4120.0</v>
      </c>
      <c r="B1478" t="str">
        <f>"Técnico de secretariado"</f>
        <v>Técnico de secretariado</v>
      </c>
      <c r="C1478" t="s">
        <v>1947</v>
      </c>
    </row>
    <row r="1479" spans="1:3" x14ac:dyDescent="0.25">
      <c r="A1479" t="str">
        <f>"413"</f>
        <v>413</v>
      </c>
      <c r="B1479" t="str">
        <f>"Operadores de processamento de texto e dados"</f>
        <v>Operadores de processamento de texto e dados</v>
      </c>
      <c r="C1479" t="s">
        <v>1948</v>
      </c>
    </row>
    <row r="1480" spans="1:3" x14ac:dyDescent="0.25">
      <c r="A1480" t="str">
        <f>"4131"</f>
        <v>4131</v>
      </c>
      <c r="B1480" t="str">
        <f>"Dactilógrafo e operador de processamento de texto"</f>
        <v>Dactilógrafo e operador de processamento de texto</v>
      </c>
      <c r="C1480" t="s">
        <v>1949</v>
      </c>
    </row>
    <row r="1481" spans="1:3" x14ac:dyDescent="0.25">
      <c r="A1481" t="str">
        <f>"4131.0"</f>
        <v>4131.0</v>
      </c>
      <c r="B1481" t="str">
        <f>"Dactilógrafo e operador de processamento de texto"</f>
        <v>Dactilógrafo e operador de processamento de texto</v>
      </c>
      <c r="C1481" t="s">
        <v>1950</v>
      </c>
    </row>
    <row r="1482" spans="1:3" x14ac:dyDescent="0.25">
      <c r="A1482" t="str">
        <f>"4132"</f>
        <v>4132</v>
      </c>
      <c r="B1482" t="str">
        <f>"Operador de registo de dados"</f>
        <v>Operador de registo de dados</v>
      </c>
      <c r="C1482" t="s">
        <v>1951</v>
      </c>
    </row>
    <row r="1483" spans="1:3" x14ac:dyDescent="0.25">
      <c r="A1483" t="str">
        <f>"4132.0"</f>
        <v>4132.0</v>
      </c>
      <c r="B1483" t="str">
        <f>"Operador de registo de dados"</f>
        <v>Operador de registo de dados</v>
      </c>
      <c r="C1483" t="s">
        <v>1952</v>
      </c>
    </row>
    <row r="1484" spans="1:3" x14ac:dyDescent="0.25">
      <c r="A1484" t="str">
        <f>"42"</f>
        <v>42</v>
      </c>
      <c r="B1484" t="str">
        <f>"Pessoal de apoio directo a clientes "</f>
        <v xml:space="preserve">Pessoal de apoio directo a clientes </v>
      </c>
      <c r="C1484" t="s">
        <v>1953</v>
      </c>
    </row>
    <row r="1485" spans="1:3" x14ac:dyDescent="0.25">
      <c r="A1485" t="str">
        <f>"421"</f>
        <v>421</v>
      </c>
      <c r="B1485" t="str">
        <f>"Caixas, penhoristas e similares"</f>
        <v>Caixas, penhoristas e similares</v>
      </c>
      <c r="C1485" t="s">
        <v>1954</v>
      </c>
    </row>
    <row r="1486" spans="1:3" x14ac:dyDescent="0.25">
      <c r="A1486" t="str">
        <f>"4211"</f>
        <v>4211</v>
      </c>
      <c r="B1486" t="str">
        <f>"Caixa bancário e similar"</f>
        <v>Caixa bancário e similar</v>
      </c>
      <c r="C1486" t="s">
        <v>1955</v>
      </c>
    </row>
    <row r="1487" spans="1:3" x14ac:dyDescent="0.25">
      <c r="A1487" t="str">
        <f>"4211.0"</f>
        <v>4211.0</v>
      </c>
      <c r="B1487" t="str">
        <f>"Caixa bancário e similar"</f>
        <v>Caixa bancário e similar</v>
      </c>
      <c r="C1487" t="s">
        <v>1956</v>
      </c>
    </row>
    <row r="1488" spans="1:3" x14ac:dyDescent="0.25">
      <c r="A1488" t="str">
        <f>"4212"</f>
        <v>4212</v>
      </c>
      <c r="B1488" t="str">
        <f>"Empregado de banca nos casinos e outros empregados de apostas"</f>
        <v>Empregado de banca nos casinos e outros empregados de apostas</v>
      </c>
      <c r="C1488" t="s">
        <v>1957</v>
      </c>
    </row>
    <row r="1489" spans="1:3" x14ac:dyDescent="0.25">
      <c r="A1489" t="str">
        <f>"4212.0"</f>
        <v>4212.0</v>
      </c>
      <c r="B1489" t="str">
        <f>"Empregado de banca nos casinos e outros empregados de apostas"</f>
        <v>Empregado de banca nos casinos e outros empregados de apostas</v>
      </c>
      <c r="C1489" t="s">
        <v>1958</v>
      </c>
    </row>
    <row r="1490" spans="1:3" x14ac:dyDescent="0.25">
      <c r="A1490" t="str">
        <f>"4213"</f>
        <v>4213</v>
      </c>
      <c r="B1490" t="str">
        <f>"Penhorista e prestamista "</f>
        <v xml:space="preserve">Penhorista e prestamista </v>
      </c>
      <c r="C1490" t="s">
        <v>1959</v>
      </c>
    </row>
    <row r="1491" spans="1:3" x14ac:dyDescent="0.25">
      <c r="A1491" t="str">
        <f>"4213.0"</f>
        <v>4213.0</v>
      </c>
      <c r="B1491" t="str">
        <f>"Penhorista e prestamista "</f>
        <v xml:space="preserve">Penhorista e prestamista </v>
      </c>
      <c r="C1491" t="s">
        <v>1960</v>
      </c>
    </row>
    <row r="1492" spans="1:3" x14ac:dyDescent="0.25">
      <c r="A1492" t="str">
        <f>"4214"</f>
        <v>4214</v>
      </c>
      <c r="B1492" t="str">
        <f>"Cobrador de facturas e similares"</f>
        <v>Cobrador de facturas e similares</v>
      </c>
      <c r="C1492" t="s">
        <v>1961</v>
      </c>
    </row>
    <row r="1493" spans="1:3" x14ac:dyDescent="0.25">
      <c r="A1493" t="str">
        <f>"4214.0"</f>
        <v>4214.0</v>
      </c>
      <c r="B1493" t="str">
        <f>"Cobrador de facturas e similares"</f>
        <v>Cobrador de facturas e similares</v>
      </c>
      <c r="C1493" t="s">
        <v>1962</v>
      </c>
    </row>
    <row r="1494" spans="1:3" x14ac:dyDescent="0.25">
      <c r="A1494" t="str">
        <f>"422"</f>
        <v>422</v>
      </c>
      <c r="B1494" t="str">
        <f>"Pessoal de recepção e de informação a clientes"</f>
        <v>Pessoal de recepção e de informação a clientes</v>
      </c>
      <c r="C1494" t="s">
        <v>1963</v>
      </c>
    </row>
    <row r="1495" spans="1:3" x14ac:dyDescent="0.25">
      <c r="A1495" t="str">
        <f>"4221"</f>
        <v>4221</v>
      </c>
      <c r="B1495" t="str">
        <f>"Empregado das agências de viagens "</f>
        <v xml:space="preserve">Empregado das agências de viagens </v>
      </c>
      <c r="C1495" t="s">
        <v>1964</v>
      </c>
    </row>
    <row r="1496" spans="1:3" x14ac:dyDescent="0.25">
      <c r="A1496" t="str">
        <f>"4221.0"</f>
        <v>4221.0</v>
      </c>
      <c r="B1496" t="str">
        <f>"Empregado das agências de viagens"</f>
        <v>Empregado das agências de viagens</v>
      </c>
      <c r="C1496" t="s">
        <v>1965</v>
      </c>
    </row>
    <row r="1497" spans="1:3" x14ac:dyDescent="0.25">
      <c r="A1497" t="str">
        <f>"4222"</f>
        <v>4222</v>
      </c>
      <c r="B1497" t="str">
        <f>"Empregado dos centros de chamadas"</f>
        <v>Empregado dos centros de chamadas</v>
      </c>
      <c r="C1497" t="s">
        <v>1966</v>
      </c>
    </row>
    <row r="1498" spans="1:3" x14ac:dyDescent="0.25">
      <c r="A1498" t="str">
        <f>"4222.0"</f>
        <v>4222.0</v>
      </c>
      <c r="B1498" t="str">
        <f>"Empregado dos centros de chamadas"</f>
        <v>Empregado dos centros de chamadas</v>
      </c>
      <c r="C1498" t="s">
        <v>1967</v>
      </c>
    </row>
    <row r="1499" spans="1:3" x14ac:dyDescent="0.25">
      <c r="A1499" t="str">
        <f>"4223"</f>
        <v>4223</v>
      </c>
      <c r="B1499" t="str">
        <f>"Operador de central telefónica"</f>
        <v>Operador de central telefónica</v>
      </c>
      <c r="C1499" t="s">
        <v>1968</v>
      </c>
    </row>
    <row r="1500" spans="1:3" x14ac:dyDescent="0.25">
      <c r="A1500" t="str">
        <f>"4223.0"</f>
        <v>4223.0</v>
      </c>
      <c r="B1500" t="str">
        <f>"Operador de central telefónica"</f>
        <v>Operador de central telefónica</v>
      </c>
      <c r="C1500" t="s">
        <v>1969</v>
      </c>
    </row>
    <row r="1501" spans="1:3" x14ac:dyDescent="0.25">
      <c r="A1501" t="str">
        <f>"4224"</f>
        <v>4224</v>
      </c>
      <c r="B1501" t="str">
        <f>"Recepcionista de hotel  "</f>
        <v xml:space="preserve">Recepcionista de hotel  </v>
      </c>
      <c r="C1501" t="s">
        <v>1970</v>
      </c>
    </row>
    <row r="1502" spans="1:3" x14ac:dyDescent="0.25">
      <c r="A1502" t="str">
        <f>"4224.0"</f>
        <v>4224.0</v>
      </c>
      <c r="B1502" t="str">
        <f>"Recepcionista de hotel  "</f>
        <v xml:space="preserve">Recepcionista de hotel  </v>
      </c>
      <c r="C1502" t="s">
        <v>1971</v>
      </c>
    </row>
    <row r="1503" spans="1:3" x14ac:dyDescent="0.25">
      <c r="A1503" t="str">
        <f>"4225"</f>
        <v>4225</v>
      </c>
      <c r="B1503" t="str">
        <f>"Pessoal de informação administrativa"</f>
        <v>Pessoal de informação administrativa</v>
      </c>
      <c r="C1503" t="s">
        <v>1972</v>
      </c>
    </row>
    <row r="1504" spans="1:3" x14ac:dyDescent="0.25">
      <c r="A1504" t="str">
        <f>"4225.0"</f>
        <v>4225.0</v>
      </c>
      <c r="B1504" t="str">
        <f>"Pessoal de informação administrativa"</f>
        <v>Pessoal de informação administrativa</v>
      </c>
      <c r="C1504" t="s">
        <v>1973</v>
      </c>
    </row>
    <row r="1505" spans="1:3" x14ac:dyDescent="0.25">
      <c r="A1505" t="str">
        <f>"4226"</f>
        <v>4226</v>
      </c>
      <c r="B1505" t="str">
        <f>"Recepcionista, excepto de hotel "</f>
        <v xml:space="preserve">Recepcionista, excepto de hotel </v>
      </c>
      <c r="C1505" t="s">
        <v>1974</v>
      </c>
    </row>
    <row r="1506" spans="1:3" x14ac:dyDescent="0.25">
      <c r="A1506" t="str">
        <f>"4226.0"</f>
        <v>4226.0</v>
      </c>
      <c r="B1506" t="str">
        <f>"Recepcionista, excepto de hotel "</f>
        <v xml:space="preserve">Recepcionista, excepto de hotel </v>
      </c>
      <c r="C1506" t="s">
        <v>1975</v>
      </c>
    </row>
    <row r="1507" spans="1:3" x14ac:dyDescent="0.25">
      <c r="A1507" t="str">
        <f>"4227"</f>
        <v>4227</v>
      </c>
      <c r="B1507" t="str">
        <f>"Entrevistador de inquéritos e de estudos de mercado"</f>
        <v>Entrevistador de inquéritos e de estudos de mercado</v>
      </c>
      <c r="C1507" t="s">
        <v>1976</v>
      </c>
    </row>
    <row r="1508" spans="1:3" x14ac:dyDescent="0.25">
      <c r="A1508" t="str">
        <f>"4227.0"</f>
        <v>4227.0</v>
      </c>
      <c r="B1508" t="str">
        <f>"Entrevistador de inquéritos e de estudos de mercado"</f>
        <v>Entrevistador de inquéritos e de estudos de mercado</v>
      </c>
      <c r="C1508" t="s">
        <v>1977</v>
      </c>
    </row>
    <row r="1509" spans="1:3" x14ac:dyDescent="0.25">
      <c r="A1509" t="str">
        <f>"4229"</f>
        <v>4229</v>
      </c>
      <c r="B1509" t="str">
        <f>"Outro pessoal de recepção e de informação a clientes "</f>
        <v xml:space="preserve">Outro pessoal de recepção e de informação a clientes </v>
      </c>
      <c r="C1509" t="s">
        <v>1978</v>
      </c>
    </row>
    <row r="1510" spans="1:3" x14ac:dyDescent="0.25">
      <c r="A1510" t="str">
        <f>"4229.0"</f>
        <v>4229.0</v>
      </c>
      <c r="B1510" t="str">
        <f>"Outro pessoal de recepção e de informação a clientes "</f>
        <v xml:space="preserve">Outro pessoal de recepção e de informação a clientes </v>
      </c>
      <c r="C1510" t="s">
        <v>1979</v>
      </c>
    </row>
    <row r="1511" spans="1:3" x14ac:dyDescent="0.25">
      <c r="A1511" t="str">
        <f>"43"</f>
        <v>43</v>
      </c>
      <c r="B1511" t="str">
        <f>"Operadores de dados, de contabilidade, estatística, de serviços financeiros e relacionados com o registo"</f>
        <v>Operadores de dados, de contabilidade, estatística, de serviços financeiros e relacionados com o registo</v>
      </c>
      <c r="C1511" t="s">
        <v>1980</v>
      </c>
    </row>
    <row r="1512" spans="1:3" x14ac:dyDescent="0.25">
      <c r="A1512" t="str">
        <f>"431"</f>
        <v>431</v>
      </c>
      <c r="B1512" t="str">
        <f>"Operadores de dados, de contabilidade, estatística e serviços financeiros "</f>
        <v xml:space="preserve">Operadores de dados, de contabilidade, estatística e serviços financeiros </v>
      </c>
      <c r="C1512" t="s">
        <v>1981</v>
      </c>
    </row>
    <row r="1513" spans="1:3" x14ac:dyDescent="0.25">
      <c r="A1513" t="str">
        <f>"4311"</f>
        <v>4311</v>
      </c>
      <c r="B1513" t="str">
        <f>"Operador de contabilidade e escrituração comercial"</f>
        <v>Operador de contabilidade e escrituração comercial</v>
      </c>
      <c r="C1513" t="s">
        <v>1982</v>
      </c>
    </row>
    <row r="1514" spans="1:3" x14ac:dyDescent="0.25">
      <c r="A1514" t="str">
        <f>"4311.0"</f>
        <v>4311.0</v>
      </c>
      <c r="B1514" t="str">
        <f>"Operador de contabilidade e escrituração comercial"</f>
        <v>Operador de contabilidade e escrituração comercial</v>
      </c>
      <c r="C1514" t="s">
        <v>1983</v>
      </c>
    </row>
    <row r="1515" spans="1:3" x14ac:dyDescent="0.25">
      <c r="A1515" t="str">
        <f>"4312"</f>
        <v>4312</v>
      </c>
      <c r="B1515" t="str">
        <f>"Operador dos serviços de estatística, financeiros e seguros"</f>
        <v>Operador dos serviços de estatística, financeiros e seguros</v>
      </c>
      <c r="C1515" t="s">
        <v>1984</v>
      </c>
    </row>
    <row r="1516" spans="1:3" x14ac:dyDescent="0.25">
      <c r="A1516" t="str">
        <f>"4312.0"</f>
        <v>4312.0</v>
      </c>
      <c r="B1516" t="str">
        <f>"Operador dos serviços de estatística, financeiros e seguros"</f>
        <v>Operador dos serviços de estatística, financeiros e seguros</v>
      </c>
      <c r="C1516" t="s">
        <v>1985</v>
      </c>
    </row>
    <row r="1517" spans="1:3" x14ac:dyDescent="0.25">
      <c r="A1517" t="str">
        <f>"4313"</f>
        <v>4313</v>
      </c>
      <c r="B1517" t="str">
        <f>"Operador de dados de processamento de pagamentos "</f>
        <v xml:space="preserve">Operador de dados de processamento de pagamentos </v>
      </c>
      <c r="C1517" t="s">
        <v>1986</v>
      </c>
    </row>
    <row r="1518" spans="1:3" x14ac:dyDescent="0.25">
      <c r="A1518" t="str">
        <f>"4313.0"</f>
        <v>4313.0</v>
      </c>
      <c r="B1518" t="str">
        <f>"Operador de dados de processamento de pagamentos "</f>
        <v xml:space="preserve">Operador de dados de processamento de pagamentos </v>
      </c>
      <c r="C1518" t="s">
        <v>1987</v>
      </c>
    </row>
    <row r="1519" spans="1:3" x14ac:dyDescent="0.25">
      <c r="A1519" t="str">
        <f>"432"</f>
        <v>432</v>
      </c>
      <c r="B1519" t="str">
        <f>"Empregados de aprovisionamento, armazém, de serviços de apoio à produção e transportes"</f>
        <v>Empregados de aprovisionamento, armazém, de serviços de apoio à produção e transportes</v>
      </c>
      <c r="C1519" t="s">
        <v>1988</v>
      </c>
    </row>
    <row r="1520" spans="1:3" x14ac:dyDescent="0.25">
      <c r="A1520" t="str">
        <f>"4321"</f>
        <v>4321</v>
      </c>
      <c r="B1520" t="str">
        <f>"Empregados de aprovisionamento e armazém "</f>
        <v xml:space="preserve">Empregados de aprovisionamento e armazém </v>
      </c>
      <c r="C1520" t="s">
        <v>1989</v>
      </c>
    </row>
    <row r="1521" spans="1:3" x14ac:dyDescent="0.25">
      <c r="A1521" t="str">
        <f>"4321.1"</f>
        <v>4321.1</v>
      </c>
      <c r="B1521" t="str">
        <f>"Empregado de aprovisionamento"</f>
        <v>Empregado de aprovisionamento</v>
      </c>
      <c r="C1521" t="s">
        <v>1990</v>
      </c>
    </row>
    <row r="1522" spans="1:3" x14ac:dyDescent="0.25">
      <c r="A1522" t="str">
        <f>"4321.2"</f>
        <v>4321.2</v>
      </c>
      <c r="B1522" t="str">
        <f>"Empregado de armazém "</f>
        <v xml:space="preserve">Empregado de armazém </v>
      </c>
      <c r="C1522" t="s">
        <v>1991</v>
      </c>
    </row>
    <row r="1523" spans="1:3" x14ac:dyDescent="0.25">
      <c r="A1523" t="str">
        <f>"4322"</f>
        <v>4322</v>
      </c>
      <c r="B1523" t="str">
        <f>"Empregado de serviços de apoio à produção"</f>
        <v>Empregado de serviços de apoio à produção</v>
      </c>
      <c r="C1523" t="s">
        <v>1992</v>
      </c>
    </row>
    <row r="1524" spans="1:3" x14ac:dyDescent="0.25">
      <c r="A1524" t="str">
        <f>"4322.0"</f>
        <v>4322.0</v>
      </c>
      <c r="B1524" t="str">
        <f>"Empregado de serviços de apoio à produção"</f>
        <v>Empregado de serviços de apoio à produção</v>
      </c>
      <c r="C1524" t="s">
        <v>1993</v>
      </c>
    </row>
    <row r="1525" spans="1:3" x14ac:dyDescent="0.25">
      <c r="A1525" t="str">
        <f>"4323"</f>
        <v>4323</v>
      </c>
      <c r="B1525" t="str">
        <f>"Empregado de controlo de registo dos serviços de transporte"</f>
        <v>Empregado de controlo de registo dos serviços de transporte</v>
      </c>
      <c r="C1525" t="s">
        <v>1994</v>
      </c>
    </row>
    <row r="1526" spans="1:3" x14ac:dyDescent="0.25">
      <c r="A1526" t="str">
        <f>"4323.1"</f>
        <v>4323.1</v>
      </c>
      <c r="B1526" t="str">
        <f>"Controlador de transportes terrestres de passageiros"</f>
        <v>Controlador de transportes terrestres de passageiros</v>
      </c>
      <c r="C1526" t="s">
        <v>1995</v>
      </c>
    </row>
    <row r="1527" spans="1:3" x14ac:dyDescent="0.25">
      <c r="A1527" t="str">
        <f>"4323.2"</f>
        <v>4323.2</v>
      </c>
      <c r="B1527" t="str">
        <f>"Controlador de transportes terrestres de mercadorias"</f>
        <v>Controlador de transportes terrestres de mercadorias</v>
      </c>
      <c r="C1527" t="s">
        <v>1996</v>
      </c>
    </row>
    <row r="1528" spans="1:3" x14ac:dyDescent="0.25">
      <c r="A1528" t="str">
        <f>"4323.3"</f>
        <v>4323.3</v>
      </c>
      <c r="B1528" t="str">
        <f>"Empregado de controlo dos serviços de transportes aéreos e marítimos"</f>
        <v>Empregado de controlo dos serviços de transportes aéreos e marítimos</v>
      </c>
      <c r="C1528" t="s">
        <v>1997</v>
      </c>
    </row>
    <row r="1529" spans="1:3" x14ac:dyDescent="0.25">
      <c r="A1529" t="str">
        <f>"44"</f>
        <v>44</v>
      </c>
      <c r="B1529" t="str">
        <f>"Outro pessoal de apoio de tipo administrativo "</f>
        <v xml:space="preserve">Outro pessoal de apoio de tipo administrativo </v>
      </c>
      <c r="C1529" t="s">
        <v>1998</v>
      </c>
    </row>
    <row r="1530" spans="1:3" x14ac:dyDescent="0.25">
      <c r="A1530" t="str">
        <f>"441"</f>
        <v>441</v>
      </c>
      <c r="B1530" t="str">
        <f>"Outro pessoal de apoio de tipo administrativo "</f>
        <v xml:space="preserve">Outro pessoal de apoio de tipo administrativo </v>
      </c>
      <c r="C1530" t="s">
        <v>1999</v>
      </c>
    </row>
    <row r="1531" spans="1:3" x14ac:dyDescent="0.25">
      <c r="A1531" t="str">
        <f>"4411"</f>
        <v>4411</v>
      </c>
      <c r="B1531" t="str">
        <f>"Empregado de biblioteca "</f>
        <v xml:space="preserve">Empregado de biblioteca </v>
      </c>
      <c r="C1531" t="s">
        <v>2000</v>
      </c>
    </row>
    <row r="1532" spans="1:3" x14ac:dyDescent="0.25">
      <c r="A1532" t="str">
        <f>"4411.0"</f>
        <v>4411.0</v>
      </c>
      <c r="B1532" t="str">
        <f>"Empregado de biblioteca "</f>
        <v xml:space="preserve">Empregado de biblioteca </v>
      </c>
      <c r="C1532" t="s">
        <v>2001</v>
      </c>
    </row>
    <row r="1533" spans="1:3" x14ac:dyDescent="0.25">
      <c r="A1533" t="str">
        <f>"4412"</f>
        <v>4412</v>
      </c>
      <c r="B1533" t="str">
        <f>"Carteiro e similares"</f>
        <v>Carteiro e similares</v>
      </c>
      <c r="C1533" t="s">
        <v>2002</v>
      </c>
    </row>
    <row r="1534" spans="1:3" x14ac:dyDescent="0.25">
      <c r="A1534" t="str">
        <f>"4412.0"</f>
        <v>4412.0</v>
      </c>
      <c r="B1534" t="str">
        <f>"Carteiro e similares"</f>
        <v>Carteiro e similares</v>
      </c>
      <c r="C1534" t="s">
        <v>2003</v>
      </c>
    </row>
    <row r="1535" spans="1:3" x14ac:dyDescent="0.25">
      <c r="A1535" t="str">
        <f>"4413"</f>
        <v>4413</v>
      </c>
      <c r="B1535" t="str">
        <f>"Codificador, revisor de provas e similares"</f>
        <v>Codificador, revisor de provas e similares</v>
      </c>
      <c r="C1535" t="s">
        <v>2004</v>
      </c>
    </row>
    <row r="1536" spans="1:3" x14ac:dyDescent="0.25">
      <c r="A1536" t="str">
        <f>"4413.0"</f>
        <v>4413.0</v>
      </c>
      <c r="B1536" t="str">
        <f>"Codificador, revisor de provas e similares"</f>
        <v>Codificador, revisor de provas e similares</v>
      </c>
      <c r="C1536" t="s">
        <v>2005</v>
      </c>
    </row>
    <row r="1537" spans="1:3" x14ac:dyDescent="0.25">
      <c r="A1537" t="str">
        <f>"4414"</f>
        <v>4414</v>
      </c>
      <c r="B1537" t="str">
        <f>"Escrivão e similares"</f>
        <v>Escrivão e similares</v>
      </c>
      <c r="C1537" t="s">
        <v>2006</v>
      </c>
    </row>
    <row r="1538" spans="1:3" x14ac:dyDescent="0.25">
      <c r="A1538" t="str">
        <f>"4414.0"</f>
        <v>4414.0</v>
      </c>
      <c r="B1538" t="str">
        <f>"Escrivão e similares"</f>
        <v>Escrivão e similares</v>
      </c>
      <c r="C1538" t="s">
        <v>2007</v>
      </c>
    </row>
    <row r="1539" spans="1:3" x14ac:dyDescent="0.25">
      <c r="A1539" t="str">
        <f>"4415"</f>
        <v>4415</v>
      </c>
      <c r="B1539" t="str">
        <f>"Classificador arquivista "</f>
        <v xml:space="preserve">Classificador arquivista </v>
      </c>
      <c r="C1539" t="s">
        <v>2008</v>
      </c>
    </row>
    <row r="1540" spans="1:3" x14ac:dyDescent="0.25">
      <c r="A1540" t="str">
        <f>"4415.0"</f>
        <v>4415.0</v>
      </c>
      <c r="B1540" t="str">
        <f>"Classificador arquivista "</f>
        <v xml:space="preserve">Classificador arquivista </v>
      </c>
      <c r="C1540" t="s">
        <v>2009</v>
      </c>
    </row>
    <row r="1541" spans="1:3" x14ac:dyDescent="0.25">
      <c r="A1541" t="str">
        <f>"4416"</f>
        <v>4416</v>
      </c>
      <c r="B1541" t="str">
        <f>"Empregado de serviço de pessoal"</f>
        <v>Empregado de serviço de pessoal</v>
      </c>
      <c r="C1541" t="s">
        <v>2010</v>
      </c>
    </row>
    <row r="1542" spans="1:3" x14ac:dyDescent="0.25">
      <c r="A1542" t="str">
        <f>"4416.0"</f>
        <v>4416.0</v>
      </c>
      <c r="B1542" t="str">
        <f>"Empregado de serviço de pessoal"</f>
        <v>Empregado de serviço de pessoal</v>
      </c>
      <c r="C1542" t="s">
        <v>2011</v>
      </c>
    </row>
    <row r="1543" spans="1:3" x14ac:dyDescent="0.25">
      <c r="A1543" t="str">
        <f>"4419"</f>
        <v>4419</v>
      </c>
      <c r="B1543" t="str">
        <f>"Outro pessoal de apoio de tipo administrativo, n.e. "</f>
        <v xml:space="preserve">Outro pessoal de apoio de tipo administrativo, n.e. </v>
      </c>
      <c r="C1543" t="s">
        <v>2012</v>
      </c>
    </row>
    <row r="1544" spans="1:3" x14ac:dyDescent="0.25">
      <c r="A1544" t="str">
        <f>"4419.0"</f>
        <v>4419.0</v>
      </c>
      <c r="B1544" t="str">
        <f>"Outro pessoal de apoio de tipo administrativo, n.e. "</f>
        <v xml:space="preserve">Outro pessoal de apoio de tipo administrativo, n.e. </v>
      </c>
      <c r="C1544" t="s">
        <v>2013</v>
      </c>
    </row>
    <row r="1545" spans="1:3" x14ac:dyDescent="0.25">
      <c r="A1545" t="str">
        <f>"5"</f>
        <v>5</v>
      </c>
      <c r="B1545" t="str">
        <f>"Trabalhadores dos serviços pessoais, de protecção e segurança e vendedores"</f>
        <v>Trabalhadores dos serviços pessoais, de protecção e segurança e vendedores</v>
      </c>
      <c r="C1545" t="s">
        <v>2014</v>
      </c>
    </row>
    <row r="1546" spans="1:3" x14ac:dyDescent="0.25">
      <c r="A1546" t="str">
        <f>"51"</f>
        <v>51</v>
      </c>
      <c r="B1546" t="str">
        <f>"Trabalhadores dos serviços pessoais"</f>
        <v>Trabalhadores dos serviços pessoais</v>
      </c>
      <c r="C1546" t="s">
        <v>2015</v>
      </c>
    </row>
    <row r="1547" spans="1:3" x14ac:dyDescent="0.25">
      <c r="A1547" t="str">
        <f>"511"</f>
        <v>511</v>
      </c>
      <c r="B1547" t="str">
        <f>"Assistentes de viagem, cobradores e guias intérpretes"</f>
        <v>Assistentes de viagem, cobradores e guias intérpretes</v>
      </c>
      <c r="C1547" t="s">
        <v>2016</v>
      </c>
    </row>
    <row r="1548" spans="1:3" x14ac:dyDescent="0.25">
      <c r="A1548" t="str">
        <f>"5111"</f>
        <v>5111</v>
      </c>
      <c r="B1548" t="str">
        <f>"Assistentes de viagem e comissários "</f>
        <v xml:space="preserve">Assistentes de viagem e comissários </v>
      </c>
      <c r="C1548" t="s">
        <v>2017</v>
      </c>
    </row>
    <row r="1549" spans="1:3" x14ac:dyDescent="0.25">
      <c r="A1549" t="str">
        <f>"5111.0"</f>
        <v>5111.0</v>
      </c>
      <c r="B1549" t="str">
        <f>"Assistentes de viagem e comissários "</f>
        <v xml:space="preserve">Assistentes de viagem e comissários </v>
      </c>
      <c r="C1549" t="s">
        <v>2018</v>
      </c>
    </row>
    <row r="1550" spans="1:3" x14ac:dyDescent="0.25">
      <c r="A1550" t="str">
        <f>"5112"</f>
        <v>5112</v>
      </c>
      <c r="B1550" t="str">
        <f>"Fiscal e cobrador de transportes públicos"</f>
        <v>Fiscal e cobrador de transportes públicos</v>
      </c>
      <c r="C1550" t="s">
        <v>2019</v>
      </c>
    </row>
    <row r="1551" spans="1:3" x14ac:dyDescent="0.25">
      <c r="A1551" t="str">
        <f>"5112.0"</f>
        <v>5112.0</v>
      </c>
      <c r="B1551" t="str">
        <f>"Fiscal e cobrador de transportes públicos"</f>
        <v>Fiscal e cobrador de transportes públicos</v>
      </c>
      <c r="C1551" t="s">
        <v>2020</v>
      </c>
    </row>
    <row r="1552" spans="1:3" x14ac:dyDescent="0.25">
      <c r="A1552" t="str">
        <f>"5113"</f>
        <v>5113</v>
      </c>
      <c r="B1552" t="str">
        <f>"Guia intérprete  "</f>
        <v xml:space="preserve">Guia intérprete  </v>
      </c>
      <c r="C1552" t="s">
        <v>2021</v>
      </c>
    </row>
    <row r="1553" spans="1:3" x14ac:dyDescent="0.25">
      <c r="A1553" t="str">
        <f>"5113.0"</f>
        <v>5113.0</v>
      </c>
      <c r="B1553" t="str">
        <f>"Guia intérprete  "</f>
        <v xml:space="preserve">Guia intérprete  </v>
      </c>
      <c r="C1553" t="s">
        <v>2022</v>
      </c>
    </row>
    <row r="1554" spans="1:3" x14ac:dyDescent="0.25">
      <c r="A1554" t="str">
        <f>"512"</f>
        <v>512</v>
      </c>
      <c r="B1554" t="str">
        <f>"Cozinheiro "</f>
        <v xml:space="preserve">Cozinheiro </v>
      </c>
      <c r="C1554" t="s">
        <v>2023</v>
      </c>
    </row>
    <row r="1555" spans="1:3" x14ac:dyDescent="0.25">
      <c r="A1555" t="str">
        <f>"5120"</f>
        <v>5120</v>
      </c>
      <c r="B1555" t="str">
        <f>"Cozinheiro "</f>
        <v xml:space="preserve">Cozinheiro </v>
      </c>
      <c r="C1555" t="s">
        <v>2024</v>
      </c>
    </row>
    <row r="1556" spans="1:3" x14ac:dyDescent="0.25">
      <c r="A1556" t="str">
        <f>"5120.0"</f>
        <v>5120.0</v>
      </c>
      <c r="B1556" t="str">
        <f>"Cozinheiro "</f>
        <v xml:space="preserve">Cozinheiro </v>
      </c>
      <c r="C1556" t="s">
        <v>2025</v>
      </c>
    </row>
    <row r="1557" spans="1:3" x14ac:dyDescent="0.25">
      <c r="A1557" t="str">
        <f>"513"</f>
        <v>513</v>
      </c>
      <c r="B1557" t="str">
        <f>"Empregados de mesa e bar "</f>
        <v xml:space="preserve">Empregados de mesa e bar </v>
      </c>
      <c r="C1557" t="s">
        <v>2026</v>
      </c>
    </row>
    <row r="1558" spans="1:3" x14ac:dyDescent="0.25">
      <c r="A1558" t="str">
        <f>"5131"</f>
        <v>5131</v>
      </c>
      <c r="B1558" t="str">
        <f>"Empregado de mesa "</f>
        <v xml:space="preserve">Empregado de mesa </v>
      </c>
      <c r="C1558" t="s">
        <v>2027</v>
      </c>
    </row>
    <row r="1559" spans="1:3" x14ac:dyDescent="0.25">
      <c r="A1559" t="str">
        <f>"5131.0"</f>
        <v>5131.0</v>
      </c>
      <c r="B1559" t="str">
        <f>"Empregado de mesa "</f>
        <v xml:space="preserve">Empregado de mesa </v>
      </c>
      <c r="C1559" t="s">
        <v>2028</v>
      </c>
    </row>
    <row r="1560" spans="1:3" x14ac:dyDescent="0.25">
      <c r="A1560" t="str">
        <f>"5132"</f>
        <v>5132</v>
      </c>
      <c r="B1560" t="str">
        <f>"Empregado de bar"</f>
        <v>Empregado de bar</v>
      </c>
      <c r="C1560" t="s">
        <v>2029</v>
      </c>
    </row>
    <row r="1561" spans="1:3" x14ac:dyDescent="0.25">
      <c r="A1561" t="str">
        <f>"5132.0"</f>
        <v>5132.0</v>
      </c>
      <c r="B1561" t="str">
        <f>"Empregado de bar"</f>
        <v>Empregado de bar</v>
      </c>
      <c r="C1561" t="s">
        <v>2030</v>
      </c>
    </row>
    <row r="1562" spans="1:3" x14ac:dyDescent="0.25">
      <c r="A1562" t="str">
        <f>"514"</f>
        <v>514</v>
      </c>
      <c r="B1562" t="str">
        <f>"Cabeleireiros, esteticistas e similares"</f>
        <v>Cabeleireiros, esteticistas e similares</v>
      </c>
      <c r="C1562" t="s">
        <v>2031</v>
      </c>
    </row>
    <row r="1563" spans="1:3" x14ac:dyDescent="0.25">
      <c r="A1563" t="str">
        <f>"5141"</f>
        <v>5141</v>
      </c>
      <c r="B1563" t="str">
        <f>"Cabeleireiro e barbeiro"</f>
        <v>Cabeleireiro e barbeiro</v>
      </c>
      <c r="C1563" t="s">
        <v>2032</v>
      </c>
    </row>
    <row r="1564" spans="1:3" x14ac:dyDescent="0.25">
      <c r="A1564" t="str">
        <f>"5141.0"</f>
        <v>5141.0</v>
      </c>
      <c r="B1564" t="str">
        <f>"Cabeleireiro e barbeiro"</f>
        <v>Cabeleireiro e barbeiro</v>
      </c>
      <c r="C1564" t="s">
        <v>2033</v>
      </c>
    </row>
    <row r="1565" spans="1:3" x14ac:dyDescent="0.25">
      <c r="A1565" t="str">
        <f>"5142"</f>
        <v>5142</v>
      </c>
      <c r="B1565" t="str">
        <f>"Esteticistas e trabalhadores similares "</f>
        <v xml:space="preserve">Esteticistas e trabalhadores similares </v>
      </c>
      <c r="C1565" t="s">
        <v>2034</v>
      </c>
    </row>
    <row r="1566" spans="1:3" x14ac:dyDescent="0.25">
      <c r="A1566" t="str">
        <f>"5142.1"</f>
        <v>5142.1</v>
      </c>
      <c r="B1566" t="str">
        <f>"Esteticista "</f>
        <v xml:space="preserve">Esteticista </v>
      </c>
      <c r="C1566" t="s">
        <v>2035</v>
      </c>
    </row>
    <row r="1567" spans="1:3" x14ac:dyDescent="0.25">
      <c r="A1567" t="str">
        <f>"5142.2"</f>
        <v>5142.2</v>
      </c>
      <c r="B1567" t="str">
        <f>"Massagista de estética"</f>
        <v>Massagista de estética</v>
      </c>
      <c r="C1567" t="s">
        <v>2036</v>
      </c>
    </row>
    <row r="1568" spans="1:3" x14ac:dyDescent="0.25">
      <c r="A1568" t="str">
        <f>"5142.3"</f>
        <v>5142.3</v>
      </c>
      <c r="B1568" t="str">
        <f>"Manicura, pedicura e calista"</f>
        <v>Manicura, pedicura e calista</v>
      </c>
      <c r="C1568" t="s">
        <v>2037</v>
      </c>
    </row>
    <row r="1569" spans="1:3" x14ac:dyDescent="0.25">
      <c r="A1569" t="str">
        <f>"5142.4"</f>
        <v>5142.4</v>
      </c>
      <c r="B1569" t="str">
        <f>"Outros trabalhadores similares aos esteticistas"</f>
        <v>Outros trabalhadores similares aos esteticistas</v>
      </c>
      <c r="C1569" t="s">
        <v>2038</v>
      </c>
    </row>
    <row r="1570" spans="1:3" x14ac:dyDescent="0.25">
      <c r="A1570" t="str">
        <f>"515"</f>
        <v>515</v>
      </c>
      <c r="B1570" t="str">
        <f>"Governante doméstico e encarregados de limpeza e de trabalhos domésticos "</f>
        <v xml:space="preserve">Governante doméstico e encarregados de limpeza e de trabalhos domésticos </v>
      </c>
      <c r="C1570" t="s">
        <v>2039</v>
      </c>
    </row>
    <row r="1571" spans="1:3" x14ac:dyDescent="0.25">
      <c r="A1571" t="str">
        <f>"5151"</f>
        <v>5151</v>
      </c>
      <c r="B1571" t="str">
        <f>"Encarregado de limpeza e de trabalhos domésticos em escritórios, hotéis e outros estabelecimentos"</f>
        <v>Encarregado de limpeza e de trabalhos domésticos em escritórios, hotéis e outros estabelecimentos</v>
      </c>
      <c r="C1571" t="s">
        <v>2040</v>
      </c>
    </row>
    <row r="1572" spans="1:3" x14ac:dyDescent="0.25">
      <c r="A1572" t="str">
        <f>"5151.0"</f>
        <v>5151.0</v>
      </c>
      <c r="B1572" t="str">
        <f>"Encarregado de limpeza e de trabalhos domésticos em escritórios, hotéis e outros estabelecimentos"</f>
        <v>Encarregado de limpeza e de trabalhos domésticos em escritórios, hotéis e outros estabelecimentos</v>
      </c>
      <c r="C1572" t="s">
        <v>2041</v>
      </c>
    </row>
    <row r="1573" spans="1:3" x14ac:dyDescent="0.25">
      <c r="A1573" t="str">
        <f>"5152"</f>
        <v>5152</v>
      </c>
      <c r="B1573" t="str">
        <f>"Governante doméstico"</f>
        <v>Governante doméstico</v>
      </c>
      <c r="C1573" t="s">
        <v>2042</v>
      </c>
    </row>
    <row r="1574" spans="1:3" x14ac:dyDescent="0.25">
      <c r="A1574" t="str">
        <f>"5152.0"</f>
        <v>5152.0</v>
      </c>
      <c r="B1574" t="str">
        <f>"Governante doméstico"</f>
        <v>Governante doméstico</v>
      </c>
      <c r="C1574" t="s">
        <v>2043</v>
      </c>
    </row>
    <row r="1575" spans="1:3" x14ac:dyDescent="0.25">
      <c r="A1575" t="str">
        <f>"5153"</f>
        <v>5153</v>
      </c>
      <c r="B1575" t="str">
        <f>"Porteiro de edifícios"</f>
        <v>Porteiro de edifícios</v>
      </c>
      <c r="C1575" t="s">
        <v>2044</v>
      </c>
    </row>
    <row r="1576" spans="1:3" x14ac:dyDescent="0.25">
      <c r="A1576" t="str">
        <f>"5153.0"</f>
        <v>5153.0</v>
      </c>
      <c r="B1576" t="str">
        <f>"Porteiro de edifícios"</f>
        <v>Porteiro de edifícios</v>
      </c>
      <c r="C1576" t="s">
        <v>2045</v>
      </c>
    </row>
    <row r="1577" spans="1:3" x14ac:dyDescent="0.25">
      <c r="A1577" t="str">
        <f>"516"</f>
        <v>516</v>
      </c>
      <c r="B1577" t="str">
        <f>"Outros trabalhadores dos serviços pessoais"</f>
        <v>Outros trabalhadores dos serviços pessoais</v>
      </c>
      <c r="C1577" t="s">
        <v>2046</v>
      </c>
    </row>
    <row r="1578" spans="1:3" x14ac:dyDescent="0.25">
      <c r="A1578" t="str">
        <f>"5161"</f>
        <v>5161</v>
      </c>
      <c r="B1578" t="str">
        <f>"Astrólogos, adivinhadores e similares"</f>
        <v>Astrólogos, adivinhadores e similares</v>
      </c>
      <c r="C1578" t="s">
        <v>2047</v>
      </c>
    </row>
    <row r="1579" spans="1:3" x14ac:dyDescent="0.25">
      <c r="A1579" t="str">
        <f>"5161.1"</f>
        <v>5161.1</v>
      </c>
      <c r="B1579" t="str">
        <f>"Astrólogo"</f>
        <v>Astrólogo</v>
      </c>
      <c r="C1579" t="s">
        <v>2048</v>
      </c>
    </row>
    <row r="1580" spans="1:3" x14ac:dyDescent="0.25">
      <c r="A1580" t="str">
        <f>"5161.2"</f>
        <v>5161.2</v>
      </c>
      <c r="B1580" t="str">
        <f>"Adivinhador e similares"</f>
        <v>Adivinhador e similares</v>
      </c>
      <c r="C1580" t="s">
        <v>2049</v>
      </c>
    </row>
    <row r="1581" spans="1:3" x14ac:dyDescent="0.25">
      <c r="A1581" t="str">
        <f>"5162"</f>
        <v>5162</v>
      </c>
      <c r="B1581" t="str">
        <f>"Pessoal de companhia e ajudantes de quarto"</f>
        <v>Pessoal de companhia e ajudantes de quarto</v>
      </c>
      <c r="C1581" t="s">
        <v>2050</v>
      </c>
    </row>
    <row r="1582" spans="1:3" x14ac:dyDescent="0.25">
      <c r="A1582" t="str">
        <f>"5162.0"</f>
        <v>5162.0</v>
      </c>
      <c r="B1582" t="str">
        <f>"Pessoal de companhia e ajudantes de quarto"</f>
        <v>Pessoal de companhia e ajudantes de quarto</v>
      </c>
      <c r="C1582" t="s">
        <v>2051</v>
      </c>
    </row>
    <row r="1583" spans="1:3" x14ac:dyDescent="0.25">
      <c r="A1583" t="str">
        <f>"5163"</f>
        <v>5163</v>
      </c>
      <c r="B1583" t="str">
        <f>"Agentes funerários e embalsamadores"</f>
        <v>Agentes funerários e embalsamadores</v>
      </c>
      <c r="C1583" t="s">
        <v>2052</v>
      </c>
    </row>
    <row r="1584" spans="1:3" x14ac:dyDescent="0.25">
      <c r="A1584" t="str">
        <f>"5163.1"</f>
        <v>5163.1</v>
      </c>
      <c r="B1584" t="str">
        <f>"Agente funerário"</f>
        <v>Agente funerário</v>
      </c>
      <c r="C1584" t="s">
        <v>2053</v>
      </c>
    </row>
    <row r="1585" spans="1:3" x14ac:dyDescent="0.25">
      <c r="A1585" t="str">
        <f>"5163.2"</f>
        <v>5163.2</v>
      </c>
      <c r="B1585" t="str">
        <f>"Embalsamador"</f>
        <v>Embalsamador</v>
      </c>
      <c r="C1585" t="s">
        <v>2054</v>
      </c>
    </row>
    <row r="1586" spans="1:3" x14ac:dyDescent="0.25">
      <c r="A1586" t="str">
        <f>"5164"</f>
        <v>5164</v>
      </c>
      <c r="B1586" t="str">
        <f>"Prestador de cuidados a animais "</f>
        <v xml:space="preserve">Prestador de cuidados a animais </v>
      </c>
      <c r="C1586" t="s">
        <v>2055</v>
      </c>
    </row>
    <row r="1587" spans="1:3" x14ac:dyDescent="0.25">
      <c r="A1587" t="str">
        <f>"5164.0"</f>
        <v>5164.0</v>
      </c>
      <c r="B1587" t="str">
        <f>"Prestador de cuidados a animais "</f>
        <v xml:space="preserve">Prestador de cuidados a animais </v>
      </c>
      <c r="C1587" t="s">
        <v>2056</v>
      </c>
    </row>
    <row r="1588" spans="1:3" x14ac:dyDescent="0.25">
      <c r="A1588" t="str">
        <f>"5165"</f>
        <v>5165</v>
      </c>
      <c r="B1588" t="str">
        <f>"Instrutor de condução"</f>
        <v>Instrutor de condução</v>
      </c>
      <c r="C1588" t="s">
        <v>2057</v>
      </c>
    </row>
    <row r="1589" spans="1:3" x14ac:dyDescent="0.25">
      <c r="A1589" t="str">
        <f>"5165.0"</f>
        <v>5165.0</v>
      </c>
      <c r="B1589" t="str">
        <f>"Instrutor de condução"</f>
        <v>Instrutor de condução</v>
      </c>
      <c r="C1589" t="s">
        <v>2058</v>
      </c>
    </row>
    <row r="1590" spans="1:3" x14ac:dyDescent="0.25">
      <c r="A1590" t="str">
        <f>"5169"</f>
        <v>5169</v>
      </c>
      <c r="B1590" t="str">
        <f>"Outros trabalhadores dos serviços pessoais, n.e."</f>
        <v>Outros trabalhadores dos serviços pessoais, n.e.</v>
      </c>
      <c r="C1590" t="s">
        <v>2059</v>
      </c>
    </row>
    <row r="1591" spans="1:3" x14ac:dyDescent="0.25">
      <c r="A1591" t="str">
        <f>"5169.0"</f>
        <v>5169.0</v>
      </c>
      <c r="B1591" t="str">
        <f>"Outros trabalhadores dos serviços pessoais, n.e."</f>
        <v>Outros trabalhadores dos serviços pessoais, n.e.</v>
      </c>
      <c r="C1591" t="s">
        <v>2060</v>
      </c>
    </row>
    <row r="1592" spans="1:3" x14ac:dyDescent="0.25">
      <c r="A1592" t="str">
        <f>"52"</f>
        <v>52</v>
      </c>
      <c r="B1592" t="str">
        <f>"Vendedores"</f>
        <v>Vendedores</v>
      </c>
      <c r="C1592" t="s">
        <v>2061</v>
      </c>
    </row>
    <row r="1593" spans="1:3" x14ac:dyDescent="0.25">
      <c r="A1593" t="str">
        <f>"521"</f>
        <v>521</v>
      </c>
      <c r="B1593" t="str">
        <f>"Vendedores ambulantes e em mercados "</f>
        <v xml:space="preserve">Vendedores ambulantes e em mercados </v>
      </c>
      <c r="C1593" t="s">
        <v>2062</v>
      </c>
    </row>
    <row r="1594" spans="1:3" x14ac:dyDescent="0.25">
      <c r="A1594" t="str">
        <f>"5211"</f>
        <v>5211</v>
      </c>
      <c r="B1594" t="str">
        <f>"Vendedor em quiosque e em mercados  "</f>
        <v xml:space="preserve">Vendedor em quiosque e em mercados  </v>
      </c>
      <c r="C1594" t="s">
        <v>2063</v>
      </c>
    </row>
    <row r="1595" spans="1:3" x14ac:dyDescent="0.25">
      <c r="A1595" t="str">
        <f>"5211.0"</f>
        <v>5211.0</v>
      </c>
      <c r="B1595" t="str">
        <f>"Vendedor em quiosque e em mercados  "</f>
        <v xml:space="preserve">Vendedor em quiosque e em mercados  </v>
      </c>
      <c r="C1595" t="s">
        <v>2064</v>
      </c>
    </row>
    <row r="1596" spans="1:3" x14ac:dyDescent="0.25">
      <c r="A1596" t="str">
        <f>"5212"</f>
        <v>5212</v>
      </c>
      <c r="B1596" t="str">
        <f>"Vendedor ambulante de produtos alimentares"</f>
        <v>Vendedor ambulante de produtos alimentares</v>
      </c>
      <c r="C1596" t="s">
        <v>2065</v>
      </c>
    </row>
    <row r="1597" spans="1:3" x14ac:dyDescent="0.25">
      <c r="A1597" t="str">
        <f>"5212.0"</f>
        <v>5212.0</v>
      </c>
      <c r="B1597" t="str">
        <f>"Vendedor ambulante de produtos alimentares"</f>
        <v>Vendedor ambulante de produtos alimentares</v>
      </c>
      <c r="C1597" t="s">
        <v>2066</v>
      </c>
    </row>
    <row r="1598" spans="1:3" x14ac:dyDescent="0.25">
      <c r="A1598" t="str">
        <f>"522"</f>
        <v>522</v>
      </c>
      <c r="B1598" t="str">
        <f>"Vendedores em lojas "</f>
        <v xml:space="preserve">Vendedores em lojas </v>
      </c>
      <c r="C1598" t="s">
        <v>2067</v>
      </c>
    </row>
    <row r="1599" spans="1:3" x14ac:dyDescent="0.25">
      <c r="A1599" t="str">
        <f>"5221"</f>
        <v>5221</v>
      </c>
      <c r="B1599" t="str">
        <f>"Comerciante de loja (estabelecimento)"</f>
        <v>Comerciante de loja (estabelecimento)</v>
      </c>
      <c r="C1599" t="s">
        <v>2068</v>
      </c>
    </row>
    <row r="1600" spans="1:3" x14ac:dyDescent="0.25">
      <c r="A1600" t="str">
        <f>"5221.0"</f>
        <v>5221.0</v>
      </c>
      <c r="B1600" t="str">
        <f>"Comerciante de loja (estabelecimento)"</f>
        <v>Comerciante de loja (estabelecimento)</v>
      </c>
      <c r="C1600" t="s">
        <v>2069</v>
      </c>
    </row>
    <row r="1601" spans="1:3" x14ac:dyDescent="0.25">
      <c r="A1601" t="str">
        <f>"5222"</f>
        <v>5222</v>
      </c>
      <c r="B1601" t="str">
        <f>"Encarregado de loja (estabelecimento)"</f>
        <v>Encarregado de loja (estabelecimento)</v>
      </c>
      <c r="C1601" t="s">
        <v>2070</v>
      </c>
    </row>
    <row r="1602" spans="1:3" x14ac:dyDescent="0.25">
      <c r="A1602" t="str">
        <f>"5222.0"</f>
        <v>5222.0</v>
      </c>
      <c r="B1602" t="str">
        <f>"Encarregado de loja (estabelecimento)"</f>
        <v>Encarregado de loja (estabelecimento)</v>
      </c>
      <c r="C1602" t="s">
        <v>2071</v>
      </c>
    </row>
    <row r="1603" spans="1:3" x14ac:dyDescent="0.25">
      <c r="A1603" t="str">
        <f>"5223"</f>
        <v>5223</v>
      </c>
      <c r="B1603" t="str">
        <f>"Vendedor em loja (estabelecimento)"</f>
        <v>Vendedor em loja (estabelecimento)</v>
      </c>
      <c r="C1603" t="s">
        <v>2072</v>
      </c>
    </row>
    <row r="1604" spans="1:3" x14ac:dyDescent="0.25">
      <c r="A1604" t="str">
        <f>"5223.0"</f>
        <v>5223.0</v>
      </c>
      <c r="B1604" t="str">
        <f>"Vendedor em loja (estabelecimento)"</f>
        <v>Vendedor em loja (estabelecimento)</v>
      </c>
      <c r="C1604" t="s">
        <v>2073</v>
      </c>
    </row>
    <row r="1605" spans="1:3" x14ac:dyDescent="0.25">
      <c r="A1605" t="str">
        <f>"523"</f>
        <v>523</v>
      </c>
      <c r="B1605" t="str">
        <f>"Operadores de caixa e venda de bilhetes"</f>
        <v>Operadores de caixa e venda de bilhetes</v>
      </c>
      <c r="C1605" t="s">
        <v>2074</v>
      </c>
    </row>
    <row r="1606" spans="1:3" x14ac:dyDescent="0.25">
      <c r="A1606" t="str">
        <f>"5230"</f>
        <v>5230</v>
      </c>
      <c r="B1606" t="str">
        <f>"Operadores de caixa e venda de bilhetes"</f>
        <v>Operadores de caixa e venda de bilhetes</v>
      </c>
      <c r="C1606" t="s">
        <v>2075</v>
      </c>
    </row>
    <row r="1607" spans="1:3" x14ac:dyDescent="0.25">
      <c r="A1607" t="str">
        <f>"5230.1"</f>
        <v>5230.1</v>
      </c>
      <c r="B1607" t="str">
        <f>"Operador de caixa"</f>
        <v>Operador de caixa</v>
      </c>
      <c r="C1607" t="s">
        <v>2076</v>
      </c>
    </row>
    <row r="1608" spans="1:3" x14ac:dyDescent="0.25">
      <c r="A1608" t="str">
        <f>"5230.2"</f>
        <v>5230.2</v>
      </c>
      <c r="B1608" t="str">
        <f>"Bilheteiro "</f>
        <v xml:space="preserve">Bilheteiro </v>
      </c>
      <c r="C1608" t="s">
        <v>2077</v>
      </c>
    </row>
    <row r="1609" spans="1:3" x14ac:dyDescent="0.25">
      <c r="A1609" t="str">
        <f>"524"</f>
        <v>524</v>
      </c>
      <c r="B1609" t="str">
        <f>"Outros trabalhadores relacionados com vendas"</f>
        <v>Outros trabalhadores relacionados com vendas</v>
      </c>
      <c r="C1609" t="s">
        <v>2078</v>
      </c>
    </row>
    <row r="1610" spans="1:3" x14ac:dyDescent="0.25">
      <c r="A1610" t="str">
        <f>"5241"</f>
        <v>5241</v>
      </c>
      <c r="B1610" t="str">
        <f>"Manequim e outros modelos "</f>
        <v xml:space="preserve">Manequim e outros modelos </v>
      </c>
      <c r="C1610" t="s">
        <v>2079</v>
      </c>
    </row>
    <row r="1611" spans="1:3" x14ac:dyDescent="0.25">
      <c r="A1611" t="str">
        <f>"5241.0"</f>
        <v>5241.0</v>
      </c>
      <c r="B1611" t="str">
        <f>"Manequim e outros modelos "</f>
        <v xml:space="preserve">Manequim e outros modelos </v>
      </c>
      <c r="C1611" t="s">
        <v>2080</v>
      </c>
    </row>
    <row r="1612" spans="1:3" x14ac:dyDescent="0.25">
      <c r="A1612" t="str">
        <f>"5242"</f>
        <v>5242</v>
      </c>
      <c r="B1612" t="str">
        <f>"Demonstrador"</f>
        <v>Demonstrador</v>
      </c>
      <c r="C1612" t="s">
        <v>2081</v>
      </c>
    </row>
    <row r="1613" spans="1:3" x14ac:dyDescent="0.25">
      <c r="A1613" t="str">
        <f>"5242.0"</f>
        <v>5242.0</v>
      </c>
      <c r="B1613" t="str">
        <f>"Demonstrador"</f>
        <v>Demonstrador</v>
      </c>
      <c r="C1613" t="s">
        <v>2082</v>
      </c>
    </row>
    <row r="1614" spans="1:3" x14ac:dyDescent="0.25">
      <c r="A1614" t="str">
        <f>"5243"</f>
        <v>5243</v>
      </c>
      <c r="B1614" t="str">
        <f>"Vendedor ao domicílio "</f>
        <v xml:space="preserve">Vendedor ao domicílio </v>
      </c>
      <c r="C1614" t="s">
        <v>2083</v>
      </c>
    </row>
    <row r="1615" spans="1:3" x14ac:dyDescent="0.25">
      <c r="A1615" t="str">
        <f>"5243.0"</f>
        <v>5243.0</v>
      </c>
      <c r="B1615" t="str">
        <f>"Vendedor ao domicílio "</f>
        <v xml:space="preserve">Vendedor ao domicílio </v>
      </c>
      <c r="C1615" t="s">
        <v>2084</v>
      </c>
    </row>
    <row r="1616" spans="1:3" x14ac:dyDescent="0.25">
      <c r="A1616" t="str">
        <f>"5244"</f>
        <v>5244</v>
      </c>
      <c r="B1616" t="str">
        <f>"Vendedor de centros de contacto"</f>
        <v>Vendedor de centros de contacto</v>
      </c>
      <c r="C1616" t="s">
        <v>2085</v>
      </c>
    </row>
    <row r="1617" spans="1:3" x14ac:dyDescent="0.25">
      <c r="A1617" t="str">
        <f>"5244.0"</f>
        <v>5244.0</v>
      </c>
      <c r="B1617" t="str">
        <f>"Vendedor de centros de contacto"</f>
        <v>Vendedor de centros de contacto</v>
      </c>
      <c r="C1617" t="s">
        <v>2086</v>
      </c>
    </row>
    <row r="1618" spans="1:3" x14ac:dyDescent="0.25">
      <c r="A1618" t="str">
        <f>"5245"</f>
        <v>5245</v>
      </c>
      <c r="B1618" t="str">
        <f>"Assistente de estação de serviço ao condutor "</f>
        <v xml:space="preserve">Assistente de estação de serviço ao condutor </v>
      </c>
      <c r="C1618" t="s">
        <v>2087</v>
      </c>
    </row>
    <row r="1619" spans="1:3" x14ac:dyDescent="0.25">
      <c r="A1619" t="str">
        <f>"5245.0"</f>
        <v>5245.0</v>
      </c>
      <c r="B1619" t="str">
        <f>"Assistente de estação de serviço ao condutor "</f>
        <v xml:space="preserve">Assistente de estação de serviço ao condutor </v>
      </c>
      <c r="C1619" t="s">
        <v>2088</v>
      </c>
    </row>
    <row r="1620" spans="1:3" x14ac:dyDescent="0.25">
      <c r="A1620" t="str">
        <f>"5246"</f>
        <v>5246</v>
      </c>
      <c r="B1620" t="str">
        <f>"Assistente de venda de alimentos ao balcão"</f>
        <v>Assistente de venda de alimentos ao balcão</v>
      </c>
      <c r="C1620" t="s">
        <v>2089</v>
      </c>
    </row>
    <row r="1621" spans="1:3" x14ac:dyDescent="0.25">
      <c r="A1621" t="str">
        <f>"5246.0"</f>
        <v>5246.0</v>
      </c>
      <c r="B1621" t="str">
        <f>"Assistente de venda de alimentos ao balcão"</f>
        <v>Assistente de venda de alimentos ao balcão</v>
      </c>
      <c r="C1621" t="s">
        <v>2090</v>
      </c>
    </row>
    <row r="1622" spans="1:3" x14ac:dyDescent="0.25">
      <c r="A1622" t="str">
        <f>"5249"</f>
        <v>5249</v>
      </c>
      <c r="B1622" t="str">
        <f>"Outros trabalhadores relacionados com vendas, n.e. "</f>
        <v xml:space="preserve">Outros trabalhadores relacionados com vendas, n.e. </v>
      </c>
      <c r="C1622" t="s">
        <v>2091</v>
      </c>
    </row>
    <row r="1623" spans="1:3" x14ac:dyDescent="0.25">
      <c r="A1623" t="str">
        <f>"5249.0"</f>
        <v>5249.0</v>
      </c>
      <c r="B1623" t="str">
        <f>"Outros trabalhadores relacionados com vendas, n.e. "</f>
        <v xml:space="preserve">Outros trabalhadores relacionados com vendas, n.e. </v>
      </c>
      <c r="C1623" t="s">
        <v>2092</v>
      </c>
    </row>
    <row r="1624" spans="1:3" x14ac:dyDescent="0.25">
      <c r="A1624" t="str">
        <f>"53"</f>
        <v>53</v>
      </c>
      <c r="B1624" t="str">
        <f>"Trabalhadores dos cuidados pessoais e similares"</f>
        <v>Trabalhadores dos cuidados pessoais e similares</v>
      </c>
      <c r="C1624" t="s">
        <v>2093</v>
      </c>
    </row>
    <row r="1625" spans="1:3" x14ac:dyDescent="0.25">
      <c r="A1625" t="str">
        <f>"531"</f>
        <v>531</v>
      </c>
      <c r="B1625" t="str">
        <f>"Auxiliares de educadores de infância e de professores"</f>
        <v>Auxiliares de educadores de infância e de professores</v>
      </c>
      <c r="C1625" t="s">
        <v>2094</v>
      </c>
    </row>
    <row r="1626" spans="1:3" x14ac:dyDescent="0.25">
      <c r="A1626" t="str">
        <f>"5311"</f>
        <v>5311</v>
      </c>
      <c r="B1626" t="str">
        <f>"Auxiliar de cuidados de crianças"</f>
        <v>Auxiliar de cuidados de crianças</v>
      </c>
      <c r="C1626" t="s">
        <v>2095</v>
      </c>
    </row>
    <row r="1627" spans="1:3" x14ac:dyDescent="0.25">
      <c r="A1627" t="str">
        <f>"5311.0"</f>
        <v>5311.0</v>
      </c>
      <c r="B1627" t="str">
        <f>"Auxiliar de cuidados de crianças"</f>
        <v>Auxiliar de cuidados de crianças</v>
      </c>
      <c r="C1627" t="s">
        <v>2096</v>
      </c>
    </row>
    <row r="1628" spans="1:3" x14ac:dyDescent="0.25">
      <c r="A1628" t="str">
        <f>"5312"</f>
        <v>5312</v>
      </c>
      <c r="B1628" t="str">
        <f>"Auxiliar de professor"</f>
        <v>Auxiliar de professor</v>
      </c>
      <c r="C1628" t="s">
        <v>2097</v>
      </c>
    </row>
    <row r="1629" spans="1:3" x14ac:dyDescent="0.25">
      <c r="A1629" t="str">
        <f>"5312.0"</f>
        <v>5312.0</v>
      </c>
      <c r="B1629" t="str">
        <f>"Auxiliar de professor"</f>
        <v>Auxiliar de professor</v>
      </c>
      <c r="C1629" t="s">
        <v>2098</v>
      </c>
    </row>
    <row r="1630" spans="1:3" x14ac:dyDescent="0.25">
      <c r="A1630" t="str">
        <f>"532"</f>
        <v>532</v>
      </c>
      <c r="B1630" t="str">
        <f>"Trabalhadores de cuidados pessoais nos serviços de saúde"</f>
        <v>Trabalhadores de cuidados pessoais nos serviços de saúde</v>
      </c>
      <c r="C1630" t="s">
        <v>2099</v>
      </c>
    </row>
    <row r="1631" spans="1:3" x14ac:dyDescent="0.25">
      <c r="A1631" t="str">
        <f>"5321"</f>
        <v>5321</v>
      </c>
      <c r="B1631" t="str">
        <f>"Auxiliar de saúde"</f>
        <v>Auxiliar de saúde</v>
      </c>
      <c r="C1631" t="s">
        <v>2100</v>
      </c>
    </row>
    <row r="1632" spans="1:3" x14ac:dyDescent="0.25">
      <c r="A1632" t="str">
        <f>"5321.0"</f>
        <v>5321.0</v>
      </c>
      <c r="B1632" t="str">
        <f>"Auxiliar de saúde"</f>
        <v>Auxiliar de saúde</v>
      </c>
      <c r="C1632" t="s">
        <v>2101</v>
      </c>
    </row>
    <row r="1633" spans="1:3" x14ac:dyDescent="0.25">
      <c r="A1633" t="str">
        <f>"5322"</f>
        <v>5322</v>
      </c>
      <c r="B1633" t="str">
        <f>"Ajudante familiar"</f>
        <v>Ajudante familiar</v>
      </c>
      <c r="C1633" t="s">
        <v>2102</v>
      </c>
    </row>
    <row r="1634" spans="1:3" x14ac:dyDescent="0.25">
      <c r="A1634" t="str">
        <f>"5322.0"</f>
        <v>5322.0</v>
      </c>
      <c r="B1634" t="str">
        <f>"Ajudante familiar"</f>
        <v>Ajudante familiar</v>
      </c>
      <c r="C1634" t="s">
        <v>2103</v>
      </c>
    </row>
    <row r="1635" spans="1:3" x14ac:dyDescent="0.25">
      <c r="A1635" t="str">
        <f>"5329"</f>
        <v>5329</v>
      </c>
      <c r="B1635" t="str">
        <f>"Outros trabalhadores dos cuidados pessoais e similares nos serviços de saúde"</f>
        <v>Outros trabalhadores dos cuidados pessoais e similares nos serviços de saúde</v>
      </c>
      <c r="C1635" t="s">
        <v>2104</v>
      </c>
    </row>
    <row r="1636" spans="1:3" x14ac:dyDescent="0.25">
      <c r="A1636" t="str">
        <f>"5329.0"</f>
        <v>5329.0</v>
      </c>
      <c r="B1636" t="str">
        <f>"Outros trabalhadores dos cuidados pessoais e similares nos serviços de saúde"</f>
        <v>Outros trabalhadores dos cuidados pessoais e similares nos serviços de saúde</v>
      </c>
      <c r="C1636" t="s">
        <v>2105</v>
      </c>
    </row>
    <row r="1637" spans="1:3" x14ac:dyDescent="0.25">
      <c r="A1637" t="str">
        <f>"54"</f>
        <v>54</v>
      </c>
      <c r="B1637" t="str">
        <f>"Pessoal dos serviços de protecção e segurança "</f>
        <v xml:space="preserve">Pessoal dos serviços de protecção e segurança </v>
      </c>
      <c r="C1637" t="s">
        <v>2106</v>
      </c>
    </row>
    <row r="1638" spans="1:3" x14ac:dyDescent="0.25">
      <c r="A1638" t="str">
        <f>"541"</f>
        <v>541</v>
      </c>
      <c r="B1638" t="str">
        <f>"Pessoal dos serviços de protecção e segurança "</f>
        <v xml:space="preserve">Pessoal dos serviços de protecção e segurança </v>
      </c>
      <c r="C1638" t="s">
        <v>2107</v>
      </c>
    </row>
    <row r="1639" spans="1:3" x14ac:dyDescent="0.25">
      <c r="A1639" t="str">
        <f>"5411"</f>
        <v>5411</v>
      </c>
      <c r="B1639" t="str">
        <f>"Bombeiro"</f>
        <v>Bombeiro</v>
      </c>
      <c r="C1639" t="s">
        <v>2108</v>
      </c>
    </row>
    <row r="1640" spans="1:3" x14ac:dyDescent="0.25">
      <c r="A1640" t="str">
        <f>"5411.0"</f>
        <v>5411.0</v>
      </c>
      <c r="B1640" t="str">
        <f>"Bombeiro"</f>
        <v>Bombeiro</v>
      </c>
      <c r="C1640" t="s">
        <v>2109</v>
      </c>
    </row>
    <row r="1641" spans="1:3" x14ac:dyDescent="0.25">
      <c r="A1641" t="str">
        <f>"5412"</f>
        <v>5412</v>
      </c>
      <c r="B1641" t="str">
        <f>"Agentes da PSP,  Polícia Marítima, Polícia Municipal, sargentos e guardas da GNR"</f>
        <v>Agentes da PSP,  Polícia Marítima, Polícia Municipal, sargentos e guardas da GNR</v>
      </c>
      <c r="C1641" t="s">
        <v>2110</v>
      </c>
    </row>
    <row r="1642" spans="1:3" x14ac:dyDescent="0.25">
      <c r="A1642" t="str">
        <f>"5412.1"</f>
        <v>5412.1</v>
      </c>
      <c r="B1642" t="str">
        <f>"Sargentos da Guarda Nacional Republicana"</f>
        <v>Sargentos da Guarda Nacional Republicana</v>
      </c>
      <c r="C1642" t="s">
        <v>2111</v>
      </c>
    </row>
    <row r="1643" spans="1:3" x14ac:dyDescent="0.25">
      <c r="A1643" t="str">
        <f>"5412.2"</f>
        <v>5412.2</v>
      </c>
      <c r="B1643" t="str">
        <f>"Guardas da Guarda Nacional Republicana"</f>
        <v>Guardas da Guarda Nacional Republicana</v>
      </c>
      <c r="C1643" t="s">
        <v>2112</v>
      </c>
    </row>
    <row r="1644" spans="1:3" x14ac:dyDescent="0.25">
      <c r="A1644" t="str">
        <f>"5412.3"</f>
        <v>5412.3</v>
      </c>
      <c r="B1644" t="str">
        <f>"Agente de Polícia de Segurança Pública"</f>
        <v>Agente de Polícia de Segurança Pública</v>
      </c>
      <c r="C1644" t="s">
        <v>2113</v>
      </c>
    </row>
    <row r="1645" spans="1:3" x14ac:dyDescent="0.25">
      <c r="A1645" t="str">
        <f>"5412.4"</f>
        <v>5412.4</v>
      </c>
      <c r="B1645" t="str">
        <f>"Agente de Polícia Marítima "</f>
        <v xml:space="preserve">Agente de Polícia Marítima </v>
      </c>
      <c r="C1645" t="s">
        <v>2114</v>
      </c>
    </row>
    <row r="1646" spans="1:3" x14ac:dyDescent="0.25">
      <c r="A1646" t="str">
        <f>"5412.5"</f>
        <v>5412.5</v>
      </c>
      <c r="B1646" t="str">
        <f>"Agente de Polícia Municipal"</f>
        <v>Agente de Polícia Municipal</v>
      </c>
      <c r="C1646" t="s">
        <v>2115</v>
      </c>
    </row>
    <row r="1647" spans="1:3" x14ac:dyDescent="0.25">
      <c r="A1647" t="str">
        <f>"5412.6"</f>
        <v>5412.6</v>
      </c>
      <c r="B1647" t="str">
        <f>"Outros agentes de polícia"</f>
        <v>Outros agentes de polícia</v>
      </c>
      <c r="C1647" t="s">
        <v>2116</v>
      </c>
    </row>
    <row r="1648" spans="1:3" x14ac:dyDescent="0.25">
      <c r="A1648" t="str">
        <f>"5413"</f>
        <v>5413</v>
      </c>
      <c r="B1648" t="str">
        <f>"Guarda dos serviços prisionais "</f>
        <v xml:space="preserve">Guarda dos serviços prisionais </v>
      </c>
      <c r="C1648" t="s">
        <v>2117</v>
      </c>
    </row>
    <row r="1649" spans="1:3" x14ac:dyDescent="0.25">
      <c r="A1649" t="str">
        <f>"5413.0"</f>
        <v>5413.0</v>
      </c>
      <c r="B1649" t="str">
        <f>"Guarda dos serviços prisionais "</f>
        <v xml:space="preserve">Guarda dos serviços prisionais </v>
      </c>
      <c r="C1649" t="s">
        <v>2118</v>
      </c>
    </row>
    <row r="1650" spans="1:3" x14ac:dyDescent="0.25">
      <c r="A1650" t="str">
        <f>"5414"</f>
        <v>5414</v>
      </c>
      <c r="B1650" t="str">
        <f>"Segurança (vigilante privado), porteiros e similares"</f>
        <v>Segurança (vigilante privado), porteiros e similares</v>
      </c>
      <c r="C1650" t="s">
        <v>2119</v>
      </c>
    </row>
    <row r="1651" spans="1:3" x14ac:dyDescent="0.25">
      <c r="A1651" t="str">
        <f>"5414.1"</f>
        <v>5414.1</v>
      </c>
      <c r="B1651" t="str">
        <f>"Porteiro de hotelaria"</f>
        <v>Porteiro de hotelaria</v>
      </c>
      <c r="C1651" t="s">
        <v>2120</v>
      </c>
    </row>
    <row r="1652" spans="1:3" x14ac:dyDescent="0.25">
      <c r="A1652" t="str">
        <f>"5414.2"</f>
        <v>5414.2</v>
      </c>
      <c r="B1652" t="str">
        <f>"Segurança (vigilante privado), outros porteiros e similares"</f>
        <v>Segurança (vigilante privado), outros porteiros e similares</v>
      </c>
      <c r="C1652" t="s">
        <v>2121</v>
      </c>
    </row>
    <row r="1653" spans="1:3" x14ac:dyDescent="0.25">
      <c r="A1653" t="str">
        <f>"5419"</f>
        <v>5419</v>
      </c>
      <c r="B1653" t="str">
        <f>"Outro pessoal dos serviços de protecção e segurança "</f>
        <v xml:space="preserve">Outro pessoal dos serviços de protecção e segurança </v>
      </c>
      <c r="C1653" t="s">
        <v>2122</v>
      </c>
    </row>
    <row r="1654" spans="1:3" x14ac:dyDescent="0.25">
      <c r="A1654" t="str">
        <f>"5419.0"</f>
        <v>5419.0</v>
      </c>
      <c r="B1654" t="str">
        <f>"Outro pessoal dos serviços de protecção e segurança "</f>
        <v xml:space="preserve">Outro pessoal dos serviços de protecção e segurança </v>
      </c>
      <c r="C1654" t="s">
        <v>2123</v>
      </c>
    </row>
    <row r="1655" spans="1:3" x14ac:dyDescent="0.25">
      <c r="A1655" t="str">
        <f>"6"</f>
        <v>6</v>
      </c>
      <c r="B1655" t="str">
        <f>"Agricultores e trabalhadores qualificados da agricultura, da pesca e da floresta"</f>
        <v>Agricultores e trabalhadores qualificados da agricultura, da pesca e da floresta</v>
      </c>
      <c r="C1655" t="s">
        <v>2124</v>
      </c>
    </row>
    <row r="1656" spans="1:3" x14ac:dyDescent="0.25">
      <c r="A1656" t="str">
        <f>"61"</f>
        <v>61</v>
      </c>
      <c r="B1656" t="str">
        <f>"Agricultores e trabalhadores qualificados da agricultura e produção animal, orientados para o mercado"</f>
        <v>Agricultores e trabalhadores qualificados da agricultura e produção animal, orientados para o mercado</v>
      </c>
      <c r="C1656" t="s">
        <v>2125</v>
      </c>
    </row>
    <row r="1657" spans="1:3" x14ac:dyDescent="0.25">
      <c r="A1657" t="str">
        <f>"611"</f>
        <v>611</v>
      </c>
      <c r="B1657" t="str">
        <f>"Agricultores e trabalhadores qualificados de culturas agrícolas de mercado"</f>
        <v>Agricultores e trabalhadores qualificados de culturas agrícolas de mercado</v>
      </c>
      <c r="C1657" t="s">
        <v>2126</v>
      </c>
    </row>
    <row r="1658" spans="1:3" x14ac:dyDescent="0.25">
      <c r="A1658" t="str">
        <f>"6111"</f>
        <v>6111</v>
      </c>
      <c r="B1658" t="str">
        <f>"Agricultor e trabalhador qualificado de cereais e outras culturas extensivas"</f>
        <v>Agricultor e trabalhador qualificado de cereais e outras culturas extensivas</v>
      </c>
      <c r="C1658" t="s">
        <v>2127</v>
      </c>
    </row>
    <row r="1659" spans="1:3" x14ac:dyDescent="0.25">
      <c r="A1659" t="str">
        <f>"6111.0"</f>
        <v>6111.0</v>
      </c>
      <c r="B1659" t="str">
        <f>"Agricultor e trabalhador qualificado de cereais e outras culturas extensivas"</f>
        <v>Agricultor e trabalhador qualificado de cereais e outras culturas extensivas</v>
      </c>
      <c r="C1659" t="s">
        <v>2128</v>
      </c>
    </row>
    <row r="1660" spans="1:3" x14ac:dyDescent="0.25">
      <c r="A1660" t="str">
        <f>"6112"</f>
        <v>6112</v>
      </c>
      <c r="B1660" t="str">
        <f>"Agricultor e trabalhador qualificado de culturas de árvores e arbustos "</f>
        <v xml:space="preserve">Agricultor e trabalhador qualificado de culturas de árvores e arbustos </v>
      </c>
      <c r="C1660" t="s">
        <v>2129</v>
      </c>
    </row>
    <row r="1661" spans="1:3" x14ac:dyDescent="0.25">
      <c r="A1661" t="str">
        <f>"6112.0"</f>
        <v>6112.0</v>
      </c>
      <c r="B1661" t="str">
        <f>"Agricultor e trabalhador qualificado de culturas de árvores e arbustos "</f>
        <v xml:space="preserve">Agricultor e trabalhador qualificado de culturas de árvores e arbustos </v>
      </c>
      <c r="C1661" t="s">
        <v>2130</v>
      </c>
    </row>
    <row r="1662" spans="1:3" x14ac:dyDescent="0.25">
      <c r="A1662" t="str">
        <f>"6113"</f>
        <v>6113</v>
      </c>
      <c r="B1662" t="str">
        <f>"Agricultor e trabalhador qualificado, da horticultura, floricultura, de viveiros e jardins "</f>
        <v xml:space="preserve">Agricultor e trabalhador qualificado, da horticultura, floricultura, de viveiros e jardins </v>
      </c>
      <c r="C1662" t="s">
        <v>2131</v>
      </c>
    </row>
    <row r="1663" spans="1:3" x14ac:dyDescent="0.25">
      <c r="A1663" t="str">
        <f>"6113.1"</f>
        <v>6113.1</v>
      </c>
      <c r="B1663" t="str">
        <f>"Agricultor e trabalhador qualificado da horticultura"</f>
        <v>Agricultor e trabalhador qualificado da horticultura</v>
      </c>
      <c r="C1663" t="s">
        <v>2132</v>
      </c>
    </row>
    <row r="1664" spans="1:3" x14ac:dyDescent="0.25">
      <c r="A1664" t="str">
        <f>"6113.2"</f>
        <v>6113.2</v>
      </c>
      <c r="B1664" t="str">
        <f>"Floricultor"</f>
        <v>Floricultor</v>
      </c>
      <c r="C1664" t="s">
        <v>2133</v>
      </c>
    </row>
    <row r="1665" spans="1:3" x14ac:dyDescent="0.25">
      <c r="A1665" t="str">
        <f>"6113.3"</f>
        <v>6113.3</v>
      </c>
      <c r="B1665" t="str">
        <f>"Viveirista"</f>
        <v>Viveirista</v>
      </c>
      <c r="C1665" t="s">
        <v>2134</v>
      </c>
    </row>
    <row r="1666" spans="1:3" x14ac:dyDescent="0.25">
      <c r="A1666" t="str">
        <f>"6113.4"</f>
        <v>6113.4</v>
      </c>
      <c r="B1666" t="str">
        <f>"Trabalhador qualificado da jardinagem"</f>
        <v>Trabalhador qualificado da jardinagem</v>
      </c>
      <c r="C1666" t="s">
        <v>2135</v>
      </c>
    </row>
    <row r="1667" spans="1:3" x14ac:dyDescent="0.25">
      <c r="A1667" t="str">
        <f>"6114"</f>
        <v>6114</v>
      </c>
      <c r="B1667" t="str">
        <f>"Agricultor e trabalhador qualificado de culturas agrícolas mistas"</f>
        <v>Agricultor e trabalhador qualificado de culturas agrícolas mistas</v>
      </c>
      <c r="C1667" t="s">
        <v>2136</v>
      </c>
    </row>
    <row r="1668" spans="1:3" x14ac:dyDescent="0.25">
      <c r="A1668" t="str">
        <f>"6114.0"</f>
        <v>6114.0</v>
      </c>
      <c r="B1668" t="str">
        <f>"Agricultor e trabalhador qualificado de culturas agrícolas mistas"</f>
        <v>Agricultor e trabalhador qualificado de culturas agrícolas mistas</v>
      </c>
      <c r="C1668" t="s">
        <v>2137</v>
      </c>
    </row>
    <row r="1669" spans="1:3" x14ac:dyDescent="0.25">
      <c r="A1669" t="str">
        <f>"612"</f>
        <v>612</v>
      </c>
      <c r="B1669" t="str">
        <f>"Produtores e trabalhadores qualificados na criação animal"</f>
        <v>Produtores e trabalhadores qualificados na criação animal</v>
      </c>
      <c r="C1669" t="s">
        <v>2138</v>
      </c>
    </row>
    <row r="1670" spans="1:3" x14ac:dyDescent="0.25">
      <c r="A1670" t="str">
        <f>"6121"</f>
        <v>6121</v>
      </c>
      <c r="B1670" t="str">
        <f>"Produtores e trabalhadores qualificados na produção animal de carne e de leite "</f>
        <v xml:space="preserve">Produtores e trabalhadores qualificados na produção animal de carne e de leite </v>
      </c>
      <c r="C1670" t="s">
        <v>2139</v>
      </c>
    </row>
    <row r="1671" spans="1:3" x14ac:dyDescent="0.25">
      <c r="A1671" t="str">
        <f>"6121.1"</f>
        <v>6121.1</v>
      </c>
      <c r="B1671" t="str">
        <f>"Produtor e trabalhador qualificado na produção de bovinos"</f>
        <v>Produtor e trabalhador qualificado na produção de bovinos</v>
      </c>
      <c r="C1671" t="s">
        <v>2140</v>
      </c>
    </row>
    <row r="1672" spans="1:3" x14ac:dyDescent="0.25">
      <c r="A1672" t="str">
        <f>"6121.2"</f>
        <v>6121.2</v>
      </c>
      <c r="B1672" t="str">
        <f>"Produtor e trabalhador qualificado na produção de ovinos e caprinos"</f>
        <v>Produtor e trabalhador qualificado na produção de ovinos e caprinos</v>
      </c>
      <c r="C1672" t="s">
        <v>2141</v>
      </c>
    </row>
    <row r="1673" spans="1:3" x14ac:dyDescent="0.25">
      <c r="A1673" t="str">
        <f>"6121.3"</f>
        <v>6121.3</v>
      </c>
      <c r="B1673" t="str">
        <f>"Produtor e trabalhador qualificado na produção de suinos"</f>
        <v>Produtor e trabalhador qualificado na produção de suinos</v>
      </c>
      <c r="C1673" t="s">
        <v>2142</v>
      </c>
    </row>
    <row r="1674" spans="1:3" x14ac:dyDescent="0.25">
      <c r="A1674" t="str">
        <f>"6121.4"</f>
        <v>6121.4</v>
      </c>
      <c r="B1674" t="str">
        <f>"Produtor e trabalhador qualificado na produção de outros animais de carne"</f>
        <v>Produtor e trabalhador qualificado na produção de outros animais de carne</v>
      </c>
      <c r="C1674" t="s">
        <v>2143</v>
      </c>
    </row>
    <row r="1675" spans="1:3" x14ac:dyDescent="0.25">
      <c r="A1675" t="str">
        <f>"6122"</f>
        <v>6122</v>
      </c>
      <c r="B1675" t="str">
        <f>"Avicultor e trabalhador qualificado da avicultura "</f>
        <v xml:space="preserve">Avicultor e trabalhador qualificado da avicultura </v>
      </c>
      <c r="C1675" t="s">
        <v>2144</v>
      </c>
    </row>
    <row r="1676" spans="1:3" x14ac:dyDescent="0.25">
      <c r="A1676" t="str">
        <f>"6122.0"</f>
        <v>6122.0</v>
      </c>
      <c r="B1676" t="str">
        <f>"Avicultor e trabalhador qualificado da avicultura "</f>
        <v xml:space="preserve">Avicultor e trabalhador qualificado da avicultura </v>
      </c>
      <c r="C1676" t="s">
        <v>2145</v>
      </c>
    </row>
    <row r="1677" spans="1:3" x14ac:dyDescent="0.25">
      <c r="A1677" t="str">
        <f>"6123"</f>
        <v>6123</v>
      </c>
      <c r="B1677" t="str">
        <f>"Apicultor e sericicultor"</f>
        <v>Apicultor e sericicultor</v>
      </c>
      <c r="C1677" t="s">
        <v>2146</v>
      </c>
    </row>
    <row r="1678" spans="1:3" x14ac:dyDescent="0.25">
      <c r="A1678" t="str">
        <f>"6123.1"</f>
        <v>6123.1</v>
      </c>
      <c r="B1678" t="str">
        <f>"Apicultor e trabalhador qualificado da apicultura "</f>
        <v xml:space="preserve">Apicultor e trabalhador qualificado da apicultura </v>
      </c>
      <c r="C1678" t="s">
        <v>2147</v>
      </c>
    </row>
    <row r="1679" spans="1:3" x14ac:dyDescent="0.25">
      <c r="A1679" t="str">
        <f>"6123.2"</f>
        <v>6123.2</v>
      </c>
      <c r="B1679" t="str">
        <f>"Sericicultor e trabalhador qualificado da sericicultura"</f>
        <v>Sericicultor e trabalhador qualificado da sericicultura</v>
      </c>
      <c r="C1679" t="s">
        <v>2148</v>
      </c>
    </row>
    <row r="1680" spans="1:3" x14ac:dyDescent="0.25">
      <c r="A1680" t="str">
        <f>"6129"</f>
        <v>6129</v>
      </c>
      <c r="B1680" t="str">
        <f>"Outros produtores e trabalhadores qualificados da criação animal"</f>
        <v>Outros produtores e trabalhadores qualificados da criação animal</v>
      </c>
      <c r="C1680" t="s">
        <v>2149</v>
      </c>
    </row>
    <row r="1681" spans="1:3" x14ac:dyDescent="0.25">
      <c r="A1681" t="str">
        <f>"6129.0"</f>
        <v>6129.0</v>
      </c>
      <c r="B1681" t="str">
        <f>"Outros produtores e trabalhadores qualificados da criação animal"</f>
        <v>Outros produtores e trabalhadores qualificados da criação animal</v>
      </c>
      <c r="C1681" t="s">
        <v>2150</v>
      </c>
    </row>
    <row r="1682" spans="1:3" x14ac:dyDescent="0.25">
      <c r="A1682" t="str">
        <f>"613"</f>
        <v>613</v>
      </c>
      <c r="B1682" t="str">
        <f>"Agricultor e trabalhador qualificado da agricultura e produção animal combinadas, orientados para o mercado "</f>
        <v xml:space="preserve">Agricultor e trabalhador qualificado da agricultura e produção animal combinadas, orientados para o mercado </v>
      </c>
      <c r="C1682" t="s">
        <v>2151</v>
      </c>
    </row>
    <row r="1683" spans="1:3" x14ac:dyDescent="0.25">
      <c r="A1683" t="str">
        <f>"6130"</f>
        <v>6130</v>
      </c>
      <c r="B1683" t="str">
        <f>"Agricultor e trabalhador qualificado da agricultura e produção animal combinadas, orientados para o mercado "</f>
        <v xml:space="preserve">Agricultor e trabalhador qualificado da agricultura e produção animal combinadas, orientados para o mercado </v>
      </c>
      <c r="C1683" t="s">
        <v>2152</v>
      </c>
    </row>
    <row r="1684" spans="1:3" x14ac:dyDescent="0.25">
      <c r="A1684" t="str">
        <f>"6130.0"</f>
        <v>6130.0</v>
      </c>
      <c r="B1684" t="str">
        <f>"Agricultor e trabalhador qualificado da agricultura e produção animal combinadas, orientados para o mercado "</f>
        <v xml:space="preserve">Agricultor e trabalhador qualificado da agricultura e produção animal combinadas, orientados para o mercado </v>
      </c>
      <c r="C1684" t="s">
        <v>2153</v>
      </c>
    </row>
    <row r="1685" spans="1:3" x14ac:dyDescent="0.25">
      <c r="A1685" t="str">
        <f>"62"</f>
        <v>62</v>
      </c>
      <c r="B1685" t="str">
        <f>"Trabalhadores qualificados da floresta, pesca e caça, orientados para o mercado"</f>
        <v>Trabalhadores qualificados da floresta, pesca e caça, orientados para o mercado</v>
      </c>
      <c r="C1685" t="s">
        <v>2154</v>
      </c>
    </row>
    <row r="1686" spans="1:3" x14ac:dyDescent="0.25">
      <c r="A1686" t="str">
        <f>"621"</f>
        <v>621</v>
      </c>
      <c r="B1686" t="str">
        <f>"Trabalhadores qualificados da floresta e similares"</f>
        <v>Trabalhadores qualificados da floresta e similares</v>
      </c>
      <c r="C1686" t="s">
        <v>2155</v>
      </c>
    </row>
    <row r="1687" spans="1:3" x14ac:dyDescent="0.25">
      <c r="A1687" t="str">
        <f>"6210"</f>
        <v>6210</v>
      </c>
      <c r="B1687" t="str">
        <f>"Trabalhadores qualificados da floresta e similares"</f>
        <v>Trabalhadores qualificados da floresta e similares</v>
      </c>
      <c r="C1687" t="s">
        <v>2156</v>
      </c>
    </row>
    <row r="1688" spans="1:3" x14ac:dyDescent="0.25">
      <c r="A1688" t="str">
        <f>"6210.1"</f>
        <v>6210.1</v>
      </c>
      <c r="B1688" t="str">
        <f>"Motosserrista"</f>
        <v>Motosserrista</v>
      </c>
      <c r="C1688" t="s">
        <v>2157</v>
      </c>
    </row>
    <row r="1689" spans="1:3" x14ac:dyDescent="0.25">
      <c r="A1689" t="str">
        <f>"6210.2"</f>
        <v>6210.2</v>
      </c>
      <c r="B1689" t="str">
        <f>"Sapador florestal"</f>
        <v>Sapador florestal</v>
      </c>
      <c r="C1689" t="s">
        <v>2158</v>
      </c>
    </row>
    <row r="1690" spans="1:3" x14ac:dyDescent="0.25">
      <c r="A1690" t="str">
        <f>"6210.3"</f>
        <v>6210.3</v>
      </c>
      <c r="B1690" t="str">
        <f>"Outros trabalhadores qualificados da floresta e similares "</f>
        <v xml:space="preserve">Outros trabalhadores qualificados da floresta e similares </v>
      </c>
      <c r="C1690" t="s">
        <v>2159</v>
      </c>
    </row>
    <row r="1691" spans="1:3" x14ac:dyDescent="0.25">
      <c r="A1691" t="str">
        <f>"622"</f>
        <v>622</v>
      </c>
      <c r="B1691" t="str">
        <f>"Trabalhadores qualificados da aquicultura e das pescas; caçador (inclui com armadilha)"</f>
        <v>Trabalhadores qualificados da aquicultura e das pescas; caçador (inclui com armadilha)</v>
      </c>
      <c r="C1691" t="s">
        <v>2160</v>
      </c>
    </row>
    <row r="1692" spans="1:3" x14ac:dyDescent="0.25">
      <c r="A1692" t="str">
        <f>"6221"</f>
        <v>6221</v>
      </c>
      <c r="B1692" t="str">
        <f>"Aquicultores (aquacultores) e trabalhadores qualificados da aquicultura "</f>
        <v xml:space="preserve">Aquicultores (aquacultores) e trabalhadores qualificados da aquicultura </v>
      </c>
      <c r="C1692" t="s">
        <v>2161</v>
      </c>
    </row>
    <row r="1693" spans="1:3" x14ac:dyDescent="0.25">
      <c r="A1693" t="str">
        <f>"6221.1"</f>
        <v>6221.1</v>
      </c>
      <c r="B1693" t="str">
        <f>"Aquicultor (aquacultor) e trabalhador qualificado de aquicultura de águas interiores"</f>
        <v>Aquicultor (aquacultor) e trabalhador qualificado de aquicultura de águas interiores</v>
      </c>
      <c r="C1693" t="s">
        <v>2162</v>
      </c>
    </row>
    <row r="1694" spans="1:3" x14ac:dyDescent="0.25">
      <c r="A1694" t="str">
        <f>"6221.2"</f>
        <v>6221.2</v>
      </c>
      <c r="B1694" t="str">
        <f>"Aquicultor (aquacultor) e trabalhador qualificado de aquicultura de águas marítimas"</f>
        <v>Aquicultor (aquacultor) e trabalhador qualificado de aquicultura de águas marítimas</v>
      </c>
      <c r="C1694" t="s">
        <v>2163</v>
      </c>
    </row>
    <row r="1695" spans="1:3" x14ac:dyDescent="0.25">
      <c r="A1695" t="str">
        <f>"6222"</f>
        <v>6222</v>
      </c>
      <c r="B1695" t="str">
        <f>"Pescadores e trabalhadores qualificados da pesca em águas costeiras e interiores"</f>
        <v>Pescadores e trabalhadores qualificados da pesca em águas costeiras e interiores</v>
      </c>
      <c r="C1695" t="s">
        <v>2164</v>
      </c>
    </row>
    <row r="1696" spans="1:3" x14ac:dyDescent="0.25">
      <c r="A1696" t="str">
        <f>"6222.1"</f>
        <v>6222.1</v>
      </c>
      <c r="B1696" t="str">
        <f>"Pescador de águas interiores"</f>
        <v>Pescador de águas interiores</v>
      </c>
      <c r="C1696" t="s">
        <v>2165</v>
      </c>
    </row>
    <row r="1697" spans="1:3" x14ac:dyDescent="0.25">
      <c r="A1697" t="str">
        <f>"6222.2"</f>
        <v>6222.2</v>
      </c>
      <c r="B1697" t="str">
        <f>"Mestre, contramestre e arrais, de pesca marítima costeira"</f>
        <v>Mestre, contramestre e arrais, de pesca marítima costeira</v>
      </c>
      <c r="C1697" t="s">
        <v>2166</v>
      </c>
    </row>
    <row r="1698" spans="1:3" x14ac:dyDescent="0.25">
      <c r="A1698" t="str">
        <f>"6222.3"</f>
        <v>6222.3</v>
      </c>
      <c r="B1698" t="str">
        <f>"Pescador e marinheiro pescador, de pesca marítima costeira "</f>
        <v xml:space="preserve">Pescador e marinheiro pescador, de pesca marítima costeira </v>
      </c>
      <c r="C1698" t="s">
        <v>2167</v>
      </c>
    </row>
    <row r="1699" spans="1:3" x14ac:dyDescent="0.25">
      <c r="A1699" t="str">
        <f>"6222.4"</f>
        <v>6222.4</v>
      </c>
      <c r="B1699" t="str">
        <f>"Outros trabalhadores qualificados de pesca de águas interiores"</f>
        <v>Outros trabalhadores qualificados de pesca de águas interiores</v>
      </c>
      <c r="C1699" t="s">
        <v>2168</v>
      </c>
    </row>
    <row r="1700" spans="1:3" x14ac:dyDescent="0.25">
      <c r="A1700" t="str">
        <f>"6222.5"</f>
        <v>6222.5</v>
      </c>
      <c r="B1700" t="str">
        <f>"Outros trabalhadores qualificados de pesca marítima costeira "</f>
        <v xml:space="preserve">Outros trabalhadores qualificados de pesca marítima costeira </v>
      </c>
      <c r="C1700" t="s">
        <v>2169</v>
      </c>
    </row>
    <row r="1701" spans="1:3" x14ac:dyDescent="0.25">
      <c r="A1701" t="str">
        <f>"6223"</f>
        <v>6223</v>
      </c>
      <c r="B1701" t="str">
        <f>"Pescadores e trabalhadores qualificados da pesca do largo (alto mar)"</f>
        <v>Pescadores e trabalhadores qualificados da pesca do largo (alto mar)</v>
      </c>
      <c r="C1701" t="s">
        <v>2170</v>
      </c>
    </row>
    <row r="1702" spans="1:3" x14ac:dyDescent="0.25">
      <c r="A1702" t="str">
        <f>"6223.1"</f>
        <v>6223.1</v>
      </c>
      <c r="B1702" t="str">
        <f>"Mestre, contramestre e arrais, de pesca marítima do largo"</f>
        <v>Mestre, contramestre e arrais, de pesca marítima do largo</v>
      </c>
      <c r="C1702" t="s">
        <v>2171</v>
      </c>
    </row>
    <row r="1703" spans="1:3" x14ac:dyDescent="0.25">
      <c r="A1703" t="str">
        <f>"6223.2"</f>
        <v>6223.2</v>
      </c>
      <c r="B1703" t="str">
        <f>"Pescador e marinheiro pescador, de pesca marítima do largo"</f>
        <v>Pescador e marinheiro pescador, de pesca marítima do largo</v>
      </c>
      <c r="C1703" t="s">
        <v>2172</v>
      </c>
    </row>
    <row r="1704" spans="1:3" x14ac:dyDescent="0.25">
      <c r="A1704" t="str">
        <f>"6223.3"</f>
        <v>6223.3</v>
      </c>
      <c r="B1704" t="str">
        <f>"Outros trabalhadores qualificados da pesca marítima do largo "</f>
        <v xml:space="preserve">Outros trabalhadores qualificados da pesca marítima do largo </v>
      </c>
      <c r="C1704" t="s">
        <v>2173</v>
      </c>
    </row>
    <row r="1705" spans="1:3" x14ac:dyDescent="0.25">
      <c r="A1705" t="str">
        <f>"6224"</f>
        <v>6224</v>
      </c>
      <c r="B1705" t="str">
        <f>"Caçador qualificado (inclui com armadilhas) orientado para o mercado"</f>
        <v>Caçador qualificado (inclui com armadilhas) orientado para o mercado</v>
      </c>
      <c r="C1705" t="s">
        <v>2174</v>
      </c>
    </row>
    <row r="1706" spans="1:3" x14ac:dyDescent="0.25">
      <c r="A1706" t="str">
        <f>"6224.0"</f>
        <v>6224.0</v>
      </c>
      <c r="B1706" t="str">
        <f>"Caçador qualificado (inclui com armadilhas) orientado para o mercado"</f>
        <v>Caçador qualificado (inclui com armadilhas) orientado para o mercado</v>
      </c>
      <c r="C1706" t="s">
        <v>2175</v>
      </c>
    </row>
    <row r="1707" spans="1:3" x14ac:dyDescent="0.25">
      <c r="A1707" t="str">
        <f>"63"</f>
        <v>63</v>
      </c>
      <c r="B1707" t="str">
        <f>"Agricultores, criadores de animais, pescadores, caçadores e colectores, de subsistência "</f>
        <v xml:space="preserve">Agricultores, criadores de animais, pescadores, caçadores e colectores, de subsistência </v>
      </c>
      <c r="C1707" t="s">
        <v>2176</v>
      </c>
    </row>
    <row r="1708" spans="1:3" x14ac:dyDescent="0.25">
      <c r="A1708" t="str">
        <f>"631"</f>
        <v>631</v>
      </c>
      <c r="B1708" t="str">
        <f>"Agricultor de subsistência "</f>
        <v xml:space="preserve">Agricultor de subsistência </v>
      </c>
      <c r="C1708" t="s">
        <v>2177</v>
      </c>
    </row>
    <row r="1709" spans="1:3" x14ac:dyDescent="0.25">
      <c r="A1709" t="str">
        <f>"6310"</f>
        <v>6310</v>
      </c>
      <c r="B1709" t="str">
        <f>"Agricultor de subsistência "</f>
        <v xml:space="preserve">Agricultor de subsistência </v>
      </c>
      <c r="C1709" t="s">
        <v>2178</v>
      </c>
    </row>
    <row r="1710" spans="1:3" x14ac:dyDescent="0.25">
      <c r="A1710" t="str">
        <f>"6310.0"</f>
        <v>6310.0</v>
      </c>
      <c r="B1710" t="str">
        <f>"Agricultor de subsistência "</f>
        <v xml:space="preserve">Agricultor de subsistência </v>
      </c>
      <c r="C1710" t="s">
        <v>2179</v>
      </c>
    </row>
    <row r="1711" spans="1:3" x14ac:dyDescent="0.25">
      <c r="A1711" t="str">
        <f>"632"</f>
        <v>632</v>
      </c>
      <c r="B1711" t="str">
        <f>"Criador de animais de subsistência"</f>
        <v>Criador de animais de subsistência</v>
      </c>
      <c r="C1711" t="s">
        <v>2180</v>
      </c>
    </row>
    <row r="1712" spans="1:3" x14ac:dyDescent="0.25">
      <c r="A1712" t="str">
        <f>"6320"</f>
        <v>6320</v>
      </c>
      <c r="B1712" t="str">
        <f>"Criador de animais de subsistência"</f>
        <v>Criador de animais de subsistência</v>
      </c>
      <c r="C1712" t="s">
        <v>2181</v>
      </c>
    </row>
    <row r="1713" spans="1:3" x14ac:dyDescent="0.25">
      <c r="A1713" t="str">
        <f>"6320.0"</f>
        <v>6320.0</v>
      </c>
      <c r="B1713" t="str">
        <f>"Criador de animais de subsistência"</f>
        <v>Criador de animais de subsistência</v>
      </c>
      <c r="C1713" t="s">
        <v>2182</v>
      </c>
    </row>
    <row r="1714" spans="1:3" x14ac:dyDescent="0.25">
      <c r="A1714" t="str">
        <f>"633"</f>
        <v>633</v>
      </c>
      <c r="B1714" t="str">
        <f>"Agricultor e criador de animais de produção combinada, de subsistência "</f>
        <v xml:space="preserve">Agricultor e criador de animais de produção combinada, de subsistência </v>
      </c>
      <c r="C1714" t="s">
        <v>2183</v>
      </c>
    </row>
    <row r="1715" spans="1:3" x14ac:dyDescent="0.25">
      <c r="A1715" t="str">
        <f>"6330"</f>
        <v>6330</v>
      </c>
      <c r="B1715" t="str">
        <f>"Agricultor e criador de animais de produção combinada, de subsistência "</f>
        <v xml:space="preserve">Agricultor e criador de animais de produção combinada, de subsistência </v>
      </c>
      <c r="C1715" t="s">
        <v>2184</v>
      </c>
    </row>
    <row r="1716" spans="1:3" x14ac:dyDescent="0.25">
      <c r="A1716" t="str">
        <f>"6330.0"</f>
        <v>6330.0</v>
      </c>
      <c r="B1716" t="str">
        <f>"Agricultor e criador de animais de produção combinada, de subsistência "</f>
        <v xml:space="preserve">Agricultor e criador de animais de produção combinada, de subsistência </v>
      </c>
      <c r="C1716" t="s">
        <v>2185</v>
      </c>
    </row>
    <row r="1717" spans="1:3" x14ac:dyDescent="0.25">
      <c r="A1717" t="str">
        <f>"634"</f>
        <v>634</v>
      </c>
      <c r="B1717" t="str">
        <f>"Pescador, caçador e colector, de subsistência"</f>
        <v>Pescador, caçador e colector, de subsistência</v>
      </c>
      <c r="C1717" t="s">
        <v>2186</v>
      </c>
    </row>
    <row r="1718" spans="1:3" x14ac:dyDescent="0.25">
      <c r="A1718" t="str">
        <f>"6340"</f>
        <v>6340</v>
      </c>
      <c r="B1718" t="str">
        <f>"Pescador, caçador e colector, de subsistência"</f>
        <v>Pescador, caçador e colector, de subsistência</v>
      </c>
      <c r="C1718" t="s">
        <v>2187</v>
      </c>
    </row>
    <row r="1719" spans="1:3" x14ac:dyDescent="0.25">
      <c r="A1719" t="str">
        <f>"6340.0"</f>
        <v>6340.0</v>
      </c>
      <c r="B1719" t="str">
        <f>"Pescador, caçador e colector, de subsistência"</f>
        <v>Pescador, caçador e colector, de subsistência</v>
      </c>
      <c r="C1719" t="s">
        <v>2188</v>
      </c>
    </row>
    <row r="1720" spans="1:3" x14ac:dyDescent="0.25">
      <c r="A1720" t="str">
        <f>"7"</f>
        <v>7</v>
      </c>
      <c r="B1720" t="str">
        <f>"Trabalhadores qualificados da indústria, construção e artífices"</f>
        <v>Trabalhadores qualificados da indústria, construção e artífices</v>
      </c>
      <c r="C1720" t="s">
        <v>2189</v>
      </c>
    </row>
    <row r="1721" spans="1:3" x14ac:dyDescent="0.25">
      <c r="A1721" t="str">
        <f>"71"</f>
        <v>71</v>
      </c>
      <c r="B1721" t="str">
        <f>"Trabalhadores qualificados da construção e similares, excepto electricista "</f>
        <v xml:space="preserve">Trabalhadores qualificados da construção e similares, excepto electricista </v>
      </c>
      <c r="C1721" t="s">
        <v>2190</v>
      </c>
    </row>
    <row r="1722" spans="1:3" x14ac:dyDescent="0.25">
      <c r="A1722" t="str">
        <f>"711"</f>
        <v>711</v>
      </c>
      <c r="B1722" t="str">
        <f>"Trabalhadores qualificados da construção das estruturas básicas e similares"</f>
        <v>Trabalhadores qualificados da construção das estruturas básicas e similares</v>
      </c>
      <c r="C1722" t="s">
        <v>2191</v>
      </c>
    </row>
    <row r="1723" spans="1:3" x14ac:dyDescent="0.25">
      <c r="A1723" t="str">
        <f>"7111"</f>
        <v>7111</v>
      </c>
      <c r="B1723" t="str">
        <f>"Construtor de casas rudimentares"</f>
        <v>Construtor de casas rudimentares</v>
      </c>
      <c r="C1723" t="s">
        <v>2192</v>
      </c>
    </row>
    <row r="1724" spans="1:3" x14ac:dyDescent="0.25">
      <c r="A1724" t="str">
        <f>"7111.0"</f>
        <v>7111.0</v>
      </c>
      <c r="B1724" t="str">
        <f>"Construtor de casas rudimentares"</f>
        <v>Construtor de casas rudimentares</v>
      </c>
      <c r="C1724" t="s">
        <v>2193</v>
      </c>
    </row>
    <row r="1725" spans="1:3" x14ac:dyDescent="0.25">
      <c r="A1725" t="str">
        <f>"7112"</f>
        <v>7112</v>
      </c>
      <c r="B1725" t="str">
        <f>"Pedreiro, calceteiro e assentador de refractários "</f>
        <v xml:space="preserve">Pedreiro, calceteiro e assentador de refractários </v>
      </c>
      <c r="C1725" t="s">
        <v>2194</v>
      </c>
    </row>
    <row r="1726" spans="1:3" x14ac:dyDescent="0.25">
      <c r="A1726" t="str">
        <f>"7112.1"</f>
        <v>7112.1</v>
      </c>
      <c r="B1726" t="str">
        <f>"Pedreiro"</f>
        <v>Pedreiro</v>
      </c>
      <c r="C1726" t="s">
        <v>2195</v>
      </c>
    </row>
    <row r="1727" spans="1:3" x14ac:dyDescent="0.25">
      <c r="A1727" t="str">
        <f>"7112.2"</f>
        <v>7112.2</v>
      </c>
      <c r="B1727" t="str">
        <f>"Calceteiro "</f>
        <v xml:space="preserve">Calceteiro </v>
      </c>
      <c r="C1727" t="s">
        <v>2196</v>
      </c>
    </row>
    <row r="1728" spans="1:3" x14ac:dyDescent="0.25">
      <c r="A1728" t="str">
        <f>"7112.3"</f>
        <v>7112.3</v>
      </c>
      <c r="B1728" t="str">
        <f>"Assentador de refractários"</f>
        <v>Assentador de refractários</v>
      </c>
      <c r="C1728" t="s">
        <v>2197</v>
      </c>
    </row>
    <row r="1729" spans="1:3" x14ac:dyDescent="0.25">
      <c r="A1729" t="str">
        <f>"7113"</f>
        <v>7113</v>
      </c>
      <c r="B1729" t="str">
        <f>"Trabalhadores da pedra, canteiros e similares "</f>
        <v xml:space="preserve">Trabalhadores da pedra, canteiros e similares </v>
      </c>
      <c r="C1729" t="s">
        <v>2198</v>
      </c>
    </row>
    <row r="1730" spans="1:3" x14ac:dyDescent="0.25">
      <c r="A1730" t="str">
        <f>"7113.1"</f>
        <v>7113.1</v>
      </c>
      <c r="B1730" t="str">
        <f>"Polidor de pedra"</f>
        <v>Polidor de pedra</v>
      </c>
      <c r="C1730" t="s">
        <v>2199</v>
      </c>
    </row>
    <row r="1731" spans="1:3" x14ac:dyDescent="0.25">
      <c r="A1731" t="str">
        <f>"7113.2"</f>
        <v>7113.2</v>
      </c>
      <c r="B1731" t="str">
        <f>"Canteiro"</f>
        <v>Canteiro</v>
      </c>
      <c r="C1731" t="s">
        <v>2200</v>
      </c>
    </row>
    <row r="1732" spans="1:3" x14ac:dyDescent="0.25">
      <c r="A1732" t="str">
        <f>"7113.3"</f>
        <v>7113.3</v>
      </c>
      <c r="B1732" t="str">
        <f>"Outros trabalhadores qualificados da pedra e similares"</f>
        <v>Outros trabalhadores qualificados da pedra e similares</v>
      </c>
      <c r="C1732" t="s">
        <v>2201</v>
      </c>
    </row>
    <row r="1733" spans="1:3" x14ac:dyDescent="0.25">
      <c r="A1733" t="str">
        <f>"7114"</f>
        <v>7114</v>
      </c>
      <c r="B1733" t="str">
        <f>"Trabalhadores de betão armado e similares"</f>
        <v>Trabalhadores de betão armado e similares</v>
      </c>
      <c r="C1733" t="s">
        <v>2202</v>
      </c>
    </row>
    <row r="1734" spans="1:3" x14ac:dyDescent="0.25">
      <c r="A1734" t="str">
        <f>"7114.1"</f>
        <v>7114.1</v>
      </c>
      <c r="B1734" t="str">
        <f>"Cimenteiro"</f>
        <v>Cimenteiro</v>
      </c>
      <c r="C1734" t="s">
        <v>2203</v>
      </c>
    </row>
    <row r="1735" spans="1:3" x14ac:dyDescent="0.25">
      <c r="A1735" t="str">
        <f>"7114.2"</f>
        <v>7114.2</v>
      </c>
      <c r="B1735" t="str">
        <f>"Armador de ferro"</f>
        <v>Armador de ferro</v>
      </c>
      <c r="C1735" t="s">
        <v>2204</v>
      </c>
    </row>
    <row r="1736" spans="1:3" x14ac:dyDescent="0.25">
      <c r="A1736" t="str">
        <f>"7114.3"</f>
        <v>7114.3</v>
      </c>
      <c r="B1736" t="str">
        <f>"Montador de alvenarias e de pré-esforçados"</f>
        <v>Montador de alvenarias e de pré-esforçados</v>
      </c>
      <c r="C1736" t="s">
        <v>2205</v>
      </c>
    </row>
    <row r="1737" spans="1:3" x14ac:dyDescent="0.25">
      <c r="A1737" t="str">
        <f>"7114.4"</f>
        <v>7114.4</v>
      </c>
      <c r="B1737" t="str">
        <f>"Outros trabalhadores qualificados em betão armado e similares"</f>
        <v>Outros trabalhadores qualificados em betão armado e similares</v>
      </c>
      <c r="C1737" t="s">
        <v>2206</v>
      </c>
    </row>
    <row r="1738" spans="1:3" x14ac:dyDescent="0.25">
      <c r="A1738" t="str">
        <f>"7115"</f>
        <v>7115</v>
      </c>
      <c r="B1738" t="str">
        <f>"Carpinteiros e similares"</f>
        <v>Carpinteiros e similares</v>
      </c>
      <c r="C1738" t="s">
        <v>2207</v>
      </c>
    </row>
    <row r="1739" spans="1:3" x14ac:dyDescent="0.25">
      <c r="A1739" t="str">
        <f>"7115.1"</f>
        <v>7115.1</v>
      </c>
      <c r="B1739" t="str">
        <f>"Carpinteiro de limpos e de tosco"</f>
        <v>Carpinteiro de limpos e de tosco</v>
      </c>
      <c r="C1739" t="s">
        <v>2208</v>
      </c>
    </row>
    <row r="1740" spans="1:3" x14ac:dyDescent="0.25">
      <c r="A1740" t="str">
        <f>"7115.2"</f>
        <v>7115.2</v>
      </c>
      <c r="B1740" t="str">
        <f>"Carpinteiro naval"</f>
        <v>Carpinteiro naval</v>
      </c>
      <c r="C1740" t="s">
        <v>2209</v>
      </c>
    </row>
    <row r="1741" spans="1:3" x14ac:dyDescent="0.25">
      <c r="A1741" t="str">
        <f>"7115.3"</f>
        <v>7115.3</v>
      </c>
      <c r="B1741" t="str">
        <f>"Outros carpinteiros e similares"</f>
        <v>Outros carpinteiros e similares</v>
      </c>
      <c r="C1741" t="s">
        <v>2210</v>
      </c>
    </row>
    <row r="1742" spans="1:3" x14ac:dyDescent="0.25">
      <c r="A1742" t="str">
        <f>"7119"</f>
        <v>7119</v>
      </c>
      <c r="B1742" t="str">
        <f>"Outros trabalhadores qualificados da construção das estruturas básicas e similares"</f>
        <v>Outros trabalhadores qualificados da construção das estruturas básicas e similares</v>
      </c>
      <c r="C1742" t="s">
        <v>2211</v>
      </c>
    </row>
    <row r="1743" spans="1:3" x14ac:dyDescent="0.25">
      <c r="A1743" t="str">
        <f>"7119.1"</f>
        <v>7119.1</v>
      </c>
      <c r="B1743" t="str">
        <f>"Montador de andaimes"</f>
        <v>Montador de andaimes</v>
      </c>
      <c r="C1743" t="s">
        <v>2212</v>
      </c>
    </row>
    <row r="1744" spans="1:3" x14ac:dyDescent="0.25">
      <c r="A1744" t="str">
        <f>"7119.2"</f>
        <v>7119.2</v>
      </c>
      <c r="B1744" t="str">
        <f>"Espalhador de betuminosos "</f>
        <v xml:space="preserve">Espalhador de betuminosos </v>
      </c>
      <c r="C1744" t="s">
        <v>2213</v>
      </c>
    </row>
    <row r="1745" spans="1:3" x14ac:dyDescent="0.25">
      <c r="A1745" t="str">
        <f>"7119.3"</f>
        <v>7119.3</v>
      </c>
      <c r="B1745" t="str">
        <f>"Outros trabalhadores qualificados da construção de estruturas básicas e similares, n.e."</f>
        <v>Outros trabalhadores qualificados da construção de estruturas básicas e similares, n.e.</v>
      </c>
      <c r="C1745" t="s">
        <v>2214</v>
      </c>
    </row>
    <row r="1746" spans="1:3" x14ac:dyDescent="0.25">
      <c r="A1746" t="str">
        <f>"712"</f>
        <v>712</v>
      </c>
      <c r="B1746" t="str">
        <f>"Trabalhadores qualificados em acabamentos da construção e similares "</f>
        <v xml:space="preserve">Trabalhadores qualificados em acabamentos da construção e similares </v>
      </c>
      <c r="C1746" t="s">
        <v>2215</v>
      </c>
    </row>
    <row r="1747" spans="1:3" x14ac:dyDescent="0.25">
      <c r="A1747" t="str">
        <f>"7121"</f>
        <v>7121</v>
      </c>
      <c r="B1747" t="str">
        <f>"Colocador de telhados e de coberturas "</f>
        <v xml:space="preserve">Colocador de telhados e de coberturas </v>
      </c>
      <c r="C1747" t="s">
        <v>2216</v>
      </c>
    </row>
    <row r="1748" spans="1:3" x14ac:dyDescent="0.25">
      <c r="A1748" t="str">
        <f>"7121.0"</f>
        <v>7121.0</v>
      </c>
      <c r="B1748" t="str">
        <f>"Colocador de telhados e de coberturas "</f>
        <v xml:space="preserve">Colocador de telhados e de coberturas </v>
      </c>
      <c r="C1748" t="s">
        <v>2217</v>
      </c>
    </row>
    <row r="1749" spans="1:3" x14ac:dyDescent="0.25">
      <c r="A1749" t="str">
        <f>"7122"</f>
        <v>7122</v>
      </c>
      <c r="B1749" t="str">
        <f>"Assentadores de revestimentos e ladrilhadores"</f>
        <v>Assentadores de revestimentos e ladrilhadores</v>
      </c>
      <c r="C1749" t="s">
        <v>2218</v>
      </c>
    </row>
    <row r="1750" spans="1:3" x14ac:dyDescent="0.25">
      <c r="A1750" t="str">
        <f>"7122.1"</f>
        <v>7122.1</v>
      </c>
      <c r="B1750" t="str">
        <f>"Assentador de tacos e afagador de madeira"</f>
        <v>Assentador de tacos e afagador de madeira</v>
      </c>
      <c r="C1750" t="s">
        <v>2219</v>
      </c>
    </row>
    <row r="1751" spans="1:3" x14ac:dyDescent="0.25">
      <c r="A1751" t="str">
        <f>"7122.2"</f>
        <v>7122.2</v>
      </c>
      <c r="B1751" t="str">
        <f>"Ladrilhador"</f>
        <v>Ladrilhador</v>
      </c>
      <c r="C1751" t="s">
        <v>2220</v>
      </c>
    </row>
    <row r="1752" spans="1:3" x14ac:dyDescent="0.25">
      <c r="A1752" t="str">
        <f>"7122.3"</f>
        <v>7122.3</v>
      </c>
      <c r="B1752" t="str">
        <f>"Outros assentadores de revestimentos "</f>
        <v xml:space="preserve">Outros assentadores de revestimentos </v>
      </c>
      <c r="C1752" t="s">
        <v>2221</v>
      </c>
    </row>
    <row r="1753" spans="1:3" x14ac:dyDescent="0.25">
      <c r="A1753" t="str">
        <f>"7123"</f>
        <v>7123</v>
      </c>
      <c r="B1753" t="str">
        <f>"Estucador"</f>
        <v>Estucador</v>
      </c>
      <c r="C1753" t="s">
        <v>2222</v>
      </c>
    </row>
    <row r="1754" spans="1:3" x14ac:dyDescent="0.25">
      <c r="A1754" t="str">
        <f>"7123.0"</f>
        <v>7123.0</v>
      </c>
      <c r="B1754" t="str">
        <f>"Estucador"</f>
        <v>Estucador</v>
      </c>
      <c r="C1754" t="s">
        <v>2223</v>
      </c>
    </row>
    <row r="1755" spans="1:3" x14ac:dyDescent="0.25">
      <c r="A1755" t="str">
        <f>"7124"</f>
        <v>7124</v>
      </c>
      <c r="B1755" t="str">
        <f>"Trabalhador qualificado em isolamentos acústicos e térmicos"</f>
        <v>Trabalhador qualificado em isolamentos acústicos e térmicos</v>
      </c>
      <c r="C1755" t="s">
        <v>2224</v>
      </c>
    </row>
    <row r="1756" spans="1:3" x14ac:dyDescent="0.25">
      <c r="A1756" t="str">
        <f>"7124.0"</f>
        <v>7124.0</v>
      </c>
      <c r="B1756" t="str">
        <f>"Trabalhador qualificado em isolamentos acústicos e térmicos"</f>
        <v>Trabalhador qualificado em isolamentos acústicos e térmicos</v>
      </c>
      <c r="C1756" t="s">
        <v>2225</v>
      </c>
    </row>
    <row r="1757" spans="1:3" x14ac:dyDescent="0.25">
      <c r="A1757" t="str">
        <f>"7125"</f>
        <v>7125</v>
      </c>
      <c r="B1757" t="str">
        <f>"Vidraceiro "</f>
        <v xml:space="preserve">Vidraceiro </v>
      </c>
      <c r="C1757" t="s">
        <v>2226</v>
      </c>
    </row>
    <row r="1758" spans="1:3" x14ac:dyDescent="0.25">
      <c r="A1758" t="str">
        <f>"7125.0"</f>
        <v>7125.0</v>
      </c>
      <c r="B1758" t="str">
        <f>"Vidraceiro "</f>
        <v xml:space="preserve">Vidraceiro </v>
      </c>
      <c r="C1758" t="s">
        <v>2227</v>
      </c>
    </row>
    <row r="1759" spans="1:3" x14ac:dyDescent="0.25">
      <c r="A1759" t="str">
        <f>"7126"</f>
        <v>7126</v>
      </c>
      <c r="B1759" t="str">
        <f>"Canalizador e montador de tubagens"</f>
        <v>Canalizador e montador de tubagens</v>
      </c>
      <c r="C1759" t="s">
        <v>2228</v>
      </c>
    </row>
    <row r="1760" spans="1:3" x14ac:dyDescent="0.25">
      <c r="A1760" t="str">
        <f>"7126.1"</f>
        <v>7126.1</v>
      </c>
      <c r="B1760" t="str">
        <f>"Canalizador"</f>
        <v>Canalizador</v>
      </c>
      <c r="C1760" t="s">
        <v>2229</v>
      </c>
    </row>
    <row r="1761" spans="1:3" x14ac:dyDescent="0.25">
      <c r="A1761" t="str">
        <f>"7126.2"</f>
        <v>7126.2</v>
      </c>
      <c r="B1761" t="str">
        <f>"Montador de tubagens"</f>
        <v>Montador de tubagens</v>
      </c>
      <c r="C1761" t="s">
        <v>2230</v>
      </c>
    </row>
    <row r="1762" spans="1:3" x14ac:dyDescent="0.25">
      <c r="A1762" t="str">
        <f>"7127"</f>
        <v>7127</v>
      </c>
      <c r="B1762" t="str">
        <f>"Instalador de ar condicionado e de sistemas de refrigeração"</f>
        <v>Instalador de ar condicionado e de sistemas de refrigeração</v>
      </c>
      <c r="C1762" t="s">
        <v>2231</v>
      </c>
    </row>
    <row r="1763" spans="1:3" x14ac:dyDescent="0.25">
      <c r="A1763" t="str">
        <f>"7127.0"</f>
        <v>7127.0</v>
      </c>
      <c r="B1763" t="str">
        <f>"Instalador de ar condicionado e de sistemas de refrigeração"</f>
        <v>Instalador de ar condicionado e de sistemas de refrigeração</v>
      </c>
      <c r="C1763" t="s">
        <v>2232</v>
      </c>
    </row>
    <row r="1764" spans="1:3" x14ac:dyDescent="0.25">
      <c r="A1764" t="str">
        <f>"713"</f>
        <v>713</v>
      </c>
      <c r="B1764" t="str">
        <f>"Pintores, limpadores de fachadas e similares"</f>
        <v>Pintores, limpadores de fachadas e similares</v>
      </c>
      <c r="C1764" t="s">
        <v>2233</v>
      </c>
    </row>
    <row r="1765" spans="1:3" x14ac:dyDescent="0.25">
      <c r="A1765" t="str">
        <f>"7131"</f>
        <v>7131</v>
      </c>
      <c r="B1765" t="str">
        <f>"Pintores de construções e trabalhadores similares"</f>
        <v>Pintores de construções e trabalhadores similares</v>
      </c>
      <c r="C1765" t="s">
        <v>2234</v>
      </c>
    </row>
    <row r="1766" spans="1:3" x14ac:dyDescent="0.25">
      <c r="A1766" t="str">
        <f>"7131.1"</f>
        <v>7131.1</v>
      </c>
      <c r="B1766" t="str">
        <f>"Pintor de construções"</f>
        <v>Pintor de construções</v>
      </c>
      <c r="C1766" t="s">
        <v>2235</v>
      </c>
    </row>
    <row r="1767" spans="1:3" x14ac:dyDescent="0.25">
      <c r="A1767" t="str">
        <f>"7131.2"</f>
        <v>7131.2</v>
      </c>
      <c r="B1767" t="str">
        <f>"Colocador de papel de parede, pintor decorador e similares "</f>
        <v xml:space="preserve">Colocador de papel de parede, pintor decorador e similares </v>
      </c>
      <c r="C1767" t="s">
        <v>2236</v>
      </c>
    </row>
    <row r="1768" spans="1:3" x14ac:dyDescent="0.25">
      <c r="A1768" t="str">
        <f>"7132"</f>
        <v>7132</v>
      </c>
      <c r="B1768" t="str">
        <f>"Pintores à pistola e envernizadores"</f>
        <v>Pintores à pistola e envernizadores</v>
      </c>
      <c r="C1768" t="s">
        <v>2237</v>
      </c>
    </row>
    <row r="1769" spans="1:3" x14ac:dyDescent="0.25">
      <c r="A1769" t="str">
        <f>"7132.1"</f>
        <v>7132.1</v>
      </c>
      <c r="B1769" t="str">
        <f>"Pintor à pistola de superfícies"</f>
        <v>Pintor à pistola de superfícies</v>
      </c>
      <c r="C1769" t="s">
        <v>2238</v>
      </c>
    </row>
    <row r="1770" spans="1:3" x14ac:dyDescent="0.25">
      <c r="A1770" t="str">
        <f>"7132.2"</f>
        <v>7132.2</v>
      </c>
      <c r="B1770" t="str">
        <f>"Envernizador"</f>
        <v>Envernizador</v>
      </c>
      <c r="C1770" t="s">
        <v>2239</v>
      </c>
    </row>
    <row r="1771" spans="1:3" x14ac:dyDescent="0.25">
      <c r="A1771" t="str">
        <f>"7133"</f>
        <v>7133</v>
      </c>
      <c r="B1771" t="str">
        <f>"Limpadores de fachadas e de outras estruturas de edifícios"</f>
        <v>Limpadores de fachadas e de outras estruturas de edifícios</v>
      </c>
      <c r="C1771" t="s">
        <v>2240</v>
      </c>
    </row>
    <row r="1772" spans="1:3" x14ac:dyDescent="0.25">
      <c r="A1772" t="str">
        <f>"7133.1"</f>
        <v>7133.1</v>
      </c>
      <c r="B1772" t="str">
        <f>"Limpador de fachadas "</f>
        <v xml:space="preserve">Limpador de fachadas </v>
      </c>
      <c r="C1772" t="s">
        <v>2241</v>
      </c>
    </row>
    <row r="1773" spans="1:3" x14ac:dyDescent="0.25">
      <c r="A1773" t="str">
        <f>"7133.2"</f>
        <v>7133.2</v>
      </c>
      <c r="B1773" t="str">
        <f>"Limpador de chaminés e de outras estruturas de edifícios "</f>
        <v xml:space="preserve">Limpador de chaminés e de outras estruturas de edifícios </v>
      </c>
      <c r="C1773" t="s">
        <v>2242</v>
      </c>
    </row>
    <row r="1774" spans="1:3" x14ac:dyDescent="0.25">
      <c r="A1774" t="str">
        <f>"72"</f>
        <v>72</v>
      </c>
      <c r="B1774" t="str">
        <f>"Trabalhadores qualificados da metalurgia, metalomecânica e similares"</f>
        <v>Trabalhadores qualificados da metalurgia, metalomecânica e similares</v>
      </c>
      <c r="C1774" t="s">
        <v>2243</v>
      </c>
    </row>
    <row r="1775" spans="1:3" x14ac:dyDescent="0.25">
      <c r="A1775" t="str">
        <f>"721"</f>
        <v>721</v>
      </c>
      <c r="B1775" t="str">
        <f>"Trabalhadores de chapas metálicas, preparadores e montadores de estruturas metálicas, moldadores de metal, soldadores e trabalhadores similares"</f>
        <v>Trabalhadores de chapas metálicas, preparadores e montadores de estruturas metálicas, moldadores de metal, soldadores e trabalhadores similares</v>
      </c>
      <c r="C1775" t="s">
        <v>2244</v>
      </c>
    </row>
    <row r="1776" spans="1:3" x14ac:dyDescent="0.25">
      <c r="A1776" t="str">
        <f>"7211"</f>
        <v>7211</v>
      </c>
      <c r="B1776" t="str">
        <f>"Operador de fundição"</f>
        <v>Operador de fundição</v>
      </c>
      <c r="C1776" t="s">
        <v>2245</v>
      </c>
    </row>
    <row r="1777" spans="1:3" x14ac:dyDescent="0.25">
      <c r="A1777" t="str">
        <f>"7211.0"</f>
        <v>7211.0</v>
      </c>
      <c r="B1777" t="str">
        <f>"Operador de fundição"</f>
        <v>Operador de fundição</v>
      </c>
      <c r="C1777" t="s">
        <v>2246</v>
      </c>
    </row>
    <row r="1778" spans="1:3" x14ac:dyDescent="0.25">
      <c r="A1778" t="str">
        <f>"7212"</f>
        <v>7212</v>
      </c>
      <c r="B1778" t="str">
        <f>"Soldadores e trabalhadores de corte a oxi-gás"</f>
        <v>Soldadores e trabalhadores de corte a oxi-gás</v>
      </c>
      <c r="C1778" t="s">
        <v>2247</v>
      </c>
    </row>
    <row r="1779" spans="1:3" x14ac:dyDescent="0.25">
      <c r="A1779" t="str">
        <f>"7212.1"</f>
        <v>7212.1</v>
      </c>
      <c r="B1779" t="str">
        <f>"Soldador"</f>
        <v>Soldador</v>
      </c>
      <c r="C1779" t="s">
        <v>2248</v>
      </c>
    </row>
    <row r="1780" spans="1:3" x14ac:dyDescent="0.25">
      <c r="A1780" t="str">
        <f>"7212.2"</f>
        <v>7212.2</v>
      </c>
      <c r="B1780" t="str">
        <f>"Trabalhador de corte a oxi-gás"</f>
        <v>Trabalhador de corte a oxi-gás</v>
      </c>
      <c r="C1780" t="s">
        <v>2249</v>
      </c>
    </row>
    <row r="1781" spans="1:3" x14ac:dyDescent="0.25">
      <c r="A1781" t="str">
        <f>"7213"</f>
        <v>7213</v>
      </c>
      <c r="B1781" t="str">
        <f>"Trabalhadores de chapas metálicas"</f>
        <v>Trabalhadores de chapas metálicas</v>
      </c>
      <c r="C1781" t="s">
        <v>2250</v>
      </c>
    </row>
    <row r="1782" spans="1:3" x14ac:dyDescent="0.25">
      <c r="A1782" t="str">
        <f>"7213.1"</f>
        <v>7213.1</v>
      </c>
      <c r="B1782" t="str">
        <f>"Bate-chapa de veículos automóveis"</f>
        <v>Bate-chapa de veículos automóveis</v>
      </c>
      <c r="C1782" t="s">
        <v>2251</v>
      </c>
    </row>
    <row r="1783" spans="1:3" x14ac:dyDescent="0.25">
      <c r="A1783" t="str">
        <f>"7213.2"</f>
        <v>7213.2</v>
      </c>
      <c r="B1783" t="str">
        <f>"Funileiro e caldeireiro "</f>
        <v xml:space="preserve">Funileiro e caldeireiro </v>
      </c>
      <c r="C1783" t="s">
        <v>2252</v>
      </c>
    </row>
    <row r="1784" spans="1:3" x14ac:dyDescent="0.25">
      <c r="A1784" t="str">
        <f>"7214"</f>
        <v>7214</v>
      </c>
      <c r="B1784" t="str">
        <f>"Preparador e montador de estruturas metálicas"</f>
        <v>Preparador e montador de estruturas metálicas</v>
      </c>
      <c r="C1784" t="s">
        <v>2253</v>
      </c>
    </row>
    <row r="1785" spans="1:3" x14ac:dyDescent="0.25">
      <c r="A1785" t="str">
        <f>"7214.1"</f>
        <v>7214.1</v>
      </c>
      <c r="B1785" t="str">
        <f>"Serralheiro civil"</f>
        <v>Serralheiro civil</v>
      </c>
      <c r="C1785" t="s">
        <v>2254</v>
      </c>
    </row>
    <row r="1786" spans="1:3" x14ac:dyDescent="0.25">
      <c r="A1786" t="str">
        <f>"7214.2"</f>
        <v>7214.2</v>
      </c>
      <c r="B1786" t="str">
        <f>"Outro preparador e montador de estruturas metálicas"</f>
        <v>Outro preparador e montador de estruturas metálicas</v>
      </c>
      <c r="C1786" t="s">
        <v>2255</v>
      </c>
    </row>
    <row r="1787" spans="1:3" x14ac:dyDescent="0.25">
      <c r="A1787" t="str">
        <f>"7215"</f>
        <v>7215</v>
      </c>
      <c r="B1787" t="str">
        <f>"Armador e montador de cabos metálicos"</f>
        <v>Armador e montador de cabos metálicos</v>
      </c>
      <c r="C1787" t="s">
        <v>2256</v>
      </c>
    </row>
    <row r="1788" spans="1:3" x14ac:dyDescent="0.25">
      <c r="A1788" t="str">
        <f>"7215.0"</f>
        <v>7215.0</v>
      </c>
      <c r="B1788" t="str">
        <f>"Armador e montador de cabos metálicos"</f>
        <v>Armador e montador de cabos metálicos</v>
      </c>
      <c r="C1788" t="s">
        <v>2257</v>
      </c>
    </row>
    <row r="1789" spans="1:3" x14ac:dyDescent="0.25">
      <c r="A1789" t="str">
        <f>"722"</f>
        <v>722</v>
      </c>
      <c r="B1789" t="str">
        <f>"Forjadores, serralheiros mecânicos e similares "</f>
        <v xml:space="preserve">Forjadores, serralheiros mecânicos e similares </v>
      </c>
      <c r="C1789" t="s">
        <v>2258</v>
      </c>
    </row>
    <row r="1790" spans="1:3" x14ac:dyDescent="0.25">
      <c r="A1790" t="str">
        <f>"7221"</f>
        <v>7221</v>
      </c>
      <c r="B1790" t="str">
        <f>"Forjadores, ferreiros, operadores de prensas de forjar, estampadores e similares"</f>
        <v>Forjadores, ferreiros, operadores de prensas de forjar, estampadores e similares</v>
      </c>
      <c r="C1790" t="s">
        <v>2259</v>
      </c>
    </row>
    <row r="1791" spans="1:3" x14ac:dyDescent="0.25">
      <c r="A1791" t="str">
        <f>"7221.1"</f>
        <v>7221.1</v>
      </c>
      <c r="B1791" t="str">
        <f>"Forjador e ferreiro"</f>
        <v>Forjador e ferreiro</v>
      </c>
      <c r="C1791" t="s">
        <v>2260</v>
      </c>
    </row>
    <row r="1792" spans="1:3" x14ac:dyDescent="0.25">
      <c r="A1792" t="str">
        <f>"7221.2"</f>
        <v>7221.2</v>
      </c>
      <c r="B1792" t="str">
        <f>"Operador de prensa de forjar, estampador e similares "</f>
        <v xml:space="preserve">Operador de prensa de forjar, estampador e similares </v>
      </c>
      <c r="C1792" t="s">
        <v>2261</v>
      </c>
    </row>
    <row r="1793" spans="1:3" x14ac:dyDescent="0.25">
      <c r="A1793" t="str">
        <f>"7222"</f>
        <v>7222</v>
      </c>
      <c r="B1793" t="str">
        <f>"Serralheiro de moldes, cunhos, cortantes e similares "</f>
        <v xml:space="preserve">Serralheiro de moldes, cunhos, cortantes e similares </v>
      </c>
      <c r="C1793" t="s">
        <v>2262</v>
      </c>
    </row>
    <row r="1794" spans="1:3" x14ac:dyDescent="0.25">
      <c r="A1794" t="str">
        <f>"7222.0"</f>
        <v>7222.0</v>
      </c>
      <c r="B1794" t="str">
        <f>"Serralheiro de moldes, cunhos, cortantes e similares "</f>
        <v xml:space="preserve">Serralheiro de moldes, cunhos, cortantes e similares </v>
      </c>
      <c r="C1794" t="s">
        <v>2263</v>
      </c>
    </row>
    <row r="1795" spans="1:3" x14ac:dyDescent="0.25">
      <c r="A1795" t="str">
        <f>"7223"</f>
        <v>7223</v>
      </c>
      <c r="B1795" t="str">
        <f>"Reguladores e operadores de máquinas-ferramentas para trabalhar metais"</f>
        <v>Reguladores e operadores de máquinas-ferramentas para trabalhar metais</v>
      </c>
      <c r="C1795" t="s">
        <v>2264</v>
      </c>
    </row>
    <row r="1796" spans="1:3" x14ac:dyDescent="0.25">
      <c r="A1796" t="str">
        <f>"7223.1"</f>
        <v>7223.1</v>
      </c>
      <c r="B1796" t="str">
        <f>"Regulador e operador de máquinas-ferramentas convencionais para trabalhar metais "</f>
        <v xml:space="preserve">Regulador e operador de máquinas-ferramentas convencionais para trabalhar metais </v>
      </c>
      <c r="C1796" t="s">
        <v>2265</v>
      </c>
    </row>
    <row r="1797" spans="1:3" x14ac:dyDescent="0.25">
      <c r="A1797" t="str">
        <f>"7223.2"</f>
        <v>7223.2</v>
      </c>
      <c r="B1797" t="str">
        <f>"Regulador e operador de máquinas-ferramentas de comando numérico computorizado para trabalhar metais "</f>
        <v xml:space="preserve">Regulador e operador de máquinas-ferramentas de comando numérico computorizado para trabalhar metais </v>
      </c>
      <c r="C1797" t="s">
        <v>2266</v>
      </c>
    </row>
    <row r="1798" spans="1:3" x14ac:dyDescent="0.25">
      <c r="A1798" t="str">
        <f>"7224"</f>
        <v>7224</v>
      </c>
      <c r="B1798" t="str">
        <f>"Rectificador de rodas, polidor e afiador de metais "</f>
        <v xml:space="preserve">Rectificador de rodas, polidor e afiador de metais </v>
      </c>
      <c r="C1798" t="s">
        <v>2267</v>
      </c>
    </row>
    <row r="1799" spans="1:3" x14ac:dyDescent="0.25">
      <c r="A1799" t="str">
        <f>"7224.0"</f>
        <v>7224.0</v>
      </c>
      <c r="B1799" t="str">
        <f>"Rectificador de rodas, polidor e afiador de metais "</f>
        <v xml:space="preserve">Rectificador de rodas, polidor e afiador de metais </v>
      </c>
      <c r="C1799" t="s">
        <v>2268</v>
      </c>
    </row>
    <row r="1800" spans="1:3" x14ac:dyDescent="0.25">
      <c r="A1800" t="str">
        <f>"723"</f>
        <v>723</v>
      </c>
      <c r="B1800" t="str">
        <f>"Mecânicos e reparadores, de máquinas e de veículos "</f>
        <v xml:space="preserve">Mecânicos e reparadores, de máquinas e de veículos </v>
      </c>
      <c r="C1800" t="s">
        <v>2269</v>
      </c>
    </row>
    <row r="1801" spans="1:3" x14ac:dyDescent="0.25">
      <c r="A1801" t="str">
        <f>"7231"</f>
        <v>7231</v>
      </c>
      <c r="B1801" t="str">
        <f>"Mecânico e reparador de veículos automóveis"</f>
        <v>Mecânico e reparador de veículos automóveis</v>
      </c>
      <c r="C1801" t="s">
        <v>2270</v>
      </c>
    </row>
    <row r="1802" spans="1:3" x14ac:dyDescent="0.25">
      <c r="A1802" t="str">
        <f>"7231.0"</f>
        <v>7231.0</v>
      </c>
      <c r="B1802" t="str">
        <f>"Mecânico e reparador de veículos automóveis"</f>
        <v>Mecânico e reparador de veículos automóveis</v>
      </c>
      <c r="C1802" t="s">
        <v>2271</v>
      </c>
    </row>
    <row r="1803" spans="1:3" x14ac:dyDescent="0.25">
      <c r="A1803" t="str">
        <f>"7232"</f>
        <v>7232</v>
      </c>
      <c r="B1803" t="str">
        <f>"Técnico de manutenção e reparação de motores de avião "</f>
        <v xml:space="preserve">Técnico de manutenção e reparação de motores de avião </v>
      </c>
      <c r="C1803" t="s">
        <v>2272</v>
      </c>
    </row>
    <row r="1804" spans="1:3" x14ac:dyDescent="0.25">
      <c r="A1804" t="str">
        <f>"7232.0"</f>
        <v>7232.0</v>
      </c>
      <c r="B1804" t="str">
        <f>"Técnico de manutenção e reparação de motores de avião "</f>
        <v xml:space="preserve">Técnico de manutenção e reparação de motores de avião </v>
      </c>
      <c r="C1804" t="s">
        <v>2273</v>
      </c>
    </row>
    <row r="1805" spans="1:3" x14ac:dyDescent="0.25">
      <c r="A1805" t="str">
        <f>"7233"</f>
        <v>7233</v>
      </c>
      <c r="B1805" t="str">
        <f>"Mecânico e reparador, de máquinas agrícolas e industriais "</f>
        <v xml:space="preserve">Mecânico e reparador, de máquinas agrícolas e industriais </v>
      </c>
      <c r="C1805" t="s">
        <v>2274</v>
      </c>
    </row>
    <row r="1806" spans="1:3" x14ac:dyDescent="0.25">
      <c r="A1806" t="str">
        <f>"7233.0"</f>
        <v>7233.0</v>
      </c>
      <c r="B1806" t="str">
        <f>"Mecânico e reparador, de máquinas agrícolas e industriais "</f>
        <v xml:space="preserve">Mecânico e reparador, de máquinas agrícolas e industriais </v>
      </c>
      <c r="C1806" t="s">
        <v>2275</v>
      </c>
    </row>
    <row r="1807" spans="1:3" x14ac:dyDescent="0.25">
      <c r="A1807" t="str">
        <f>"7234"</f>
        <v>7234</v>
      </c>
      <c r="B1807" t="str">
        <f>"Reparador de bicicletas e similares"</f>
        <v>Reparador de bicicletas e similares</v>
      </c>
      <c r="C1807" t="s">
        <v>2276</v>
      </c>
    </row>
    <row r="1808" spans="1:3" x14ac:dyDescent="0.25">
      <c r="A1808" t="str">
        <f>"7234.0"</f>
        <v>7234.0</v>
      </c>
      <c r="B1808" t="str">
        <f>"Reparador de bicicletas e similares"</f>
        <v>Reparador de bicicletas e similares</v>
      </c>
      <c r="C1808" t="s">
        <v>2277</v>
      </c>
    </row>
    <row r="1809" spans="1:3" x14ac:dyDescent="0.25">
      <c r="A1809" t="str">
        <f>"73"</f>
        <v>73</v>
      </c>
      <c r="B1809" t="str">
        <f>"Trabalhadores qualificados da impressão, do fabrico de instrumentos de precisão, joalheiros, artesãos e similares"</f>
        <v>Trabalhadores qualificados da impressão, do fabrico de instrumentos de precisão, joalheiros, artesãos e similares</v>
      </c>
      <c r="C1809" t="s">
        <v>2278</v>
      </c>
    </row>
    <row r="1810" spans="1:3" x14ac:dyDescent="0.25">
      <c r="A1810" t="str">
        <f>"731"</f>
        <v>731</v>
      </c>
      <c r="B1810" t="str">
        <f>"Trabalhadores qualificados do fabrico de instrumentos de precisão, joalheiros, artesãos e similares "</f>
        <v xml:space="preserve">Trabalhadores qualificados do fabrico de instrumentos de precisão, joalheiros, artesãos e similares </v>
      </c>
      <c r="C1810" t="s">
        <v>2279</v>
      </c>
    </row>
    <row r="1811" spans="1:3" x14ac:dyDescent="0.25">
      <c r="A1811" t="str">
        <f>"7311"</f>
        <v>7311</v>
      </c>
      <c r="B1811" t="str">
        <f>"Trabalhador qualificado do fabrico e reparação de instrumentos de precisão"</f>
        <v>Trabalhador qualificado do fabrico e reparação de instrumentos de precisão</v>
      </c>
      <c r="C1811" t="s">
        <v>2280</v>
      </c>
    </row>
    <row r="1812" spans="1:3" x14ac:dyDescent="0.25">
      <c r="A1812" t="str">
        <f>"7311.0"</f>
        <v>7311.0</v>
      </c>
      <c r="B1812" t="str">
        <f>"Trabalhador qualificado do fabrico e reparação de instrumentos de precisão"</f>
        <v>Trabalhador qualificado do fabrico e reparação de instrumentos de precisão</v>
      </c>
      <c r="C1812" t="s">
        <v>2281</v>
      </c>
    </row>
    <row r="1813" spans="1:3" x14ac:dyDescent="0.25">
      <c r="A1813" t="str">
        <f>"7312"</f>
        <v>7312</v>
      </c>
      <c r="B1813" t="str">
        <f>"Trabalhador qualificado do fabrico e afinação de instrumentos musicais"</f>
        <v>Trabalhador qualificado do fabrico e afinação de instrumentos musicais</v>
      </c>
      <c r="C1813" t="s">
        <v>2282</v>
      </c>
    </row>
    <row r="1814" spans="1:3" x14ac:dyDescent="0.25">
      <c r="A1814" t="str">
        <f>"7312.0"</f>
        <v>7312.0</v>
      </c>
      <c r="B1814" t="str">
        <f>"Trabalhador qualificado do fabrico e afinação de instrumentos musicais"</f>
        <v>Trabalhador qualificado do fabrico e afinação de instrumentos musicais</v>
      </c>
      <c r="C1814" t="s">
        <v>2283</v>
      </c>
    </row>
    <row r="1815" spans="1:3" x14ac:dyDescent="0.25">
      <c r="A1815" t="str">
        <f>"7313"</f>
        <v>7313</v>
      </c>
      <c r="B1815" t="str">
        <f>"Joalheiros, ourives e trabalhadores de diamantes industriais"</f>
        <v>Joalheiros, ourives e trabalhadores de diamantes industriais</v>
      </c>
      <c r="C1815" t="s">
        <v>2284</v>
      </c>
    </row>
    <row r="1816" spans="1:3" x14ac:dyDescent="0.25">
      <c r="A1816" t="str">
        <f>"7313.1"</f>
        <v>7313.1</v>
      </c>
      <c r="B1816" t="str">
        <f>"Joalheiro"</f>
        <v>Joalheiro</v>
      </c>
      <c r="C1816" t="s">
        <v>2285</v>
      </c>
    </row>
    <row r="1817" spans="1:3" x14ac:dyDescent="0.25">
      <c r="A1817" t="str">
        <f>"7313.2"</f>
        <v>7313.2</v>
      </c>
      <c r="B1817" t="str">
        <f>"Filigranista"</f>
        <v>Filigranista</v>
      </c>
      <c r="C1817" t="s">
        <v>2286</v>
      </c>
    </row>
    <row r="1818" spans="1:3" x14ac:dyDescent="0.25">
      <c r="A1818" t="str">
        <f>"7313.3"</f>
        <v>7313.3</v>
      </c>
      <c r="B1818" t="str">
        <f>"Outros ourives e trabalhadores de diamantes industriais"</f>
        <v>Outros ourives e trabalhadores de diamantes industriais</v>
      </c>
      <c r="C1818" t="s">
        <v>2287</v>
      </c>
    </row>
    <row r="1819" spans="1:3" x14ac:dyDescent="0.25">
      <c r="A1819" t="str">
        <f>"7314"</f>
        <v>7314</v>
      </c>
      <c r="B1819" t="str">
        <f>"Oleiros e similares "</f>
        <v xml:space="preserve">Oleiros e similares </v>
      </c>
      <c r="C1819" t="s">
        <v>2288</v>
      </c>
    </row>
    <row r="1820" spans="1:3" x14ac:dyDescent="0.25">
      <c r="A1820" t="str">
        <f>"7314.1"</f>
        <v>7314.1</v>
      </c>
      <c r="B1820" t="str">
        <f>"Oleiro "</f>
        <v xml:space="preserve">Oleiro </v>
      </c>
      <c r="C1820" t="s">
        <v>2289</v>
      </c>
    </row>
    <row r="1821" spans="1:3" x14ac:dyDescent="0.25">
      <c r="A1821" t="str">
        <f>"7314.2"</f>
        <v>7314.2</v>
      </c>
      <c r="B1821" t="str">
        <f>"Modelador e formista, de cerâmica "</f>
        <v xml:space="preserve">Modelador e formista, de cerâmica </v>
      </c>
      <c r="C1821" t="s">
        <v>2290</v>
      </c>
    </row>
    <row r="1822" spans="1:3" x14ac:dyDescent="0.25">
      <c r="A1822" t="str">
        <f>"7314.3"</f>
        <v>7314.3</v>
      </c>
      <c r="B1822" t="str">
        <f>"Outros oleiros e similares "</f>
        <v xml:space="preserve">Outros oleiros e similares </v>
      </c>
      <c r="C1822" t="s">
        <v>2291</v>
      </c>
    </row>
    <row r="1823" spans="1:3" x14ac:dyDescent="0.25">
      <c r="A1823" t="str">
        <f>"7315"</f>
        <v>7315</v>
      </c>
      <c r="B1823" t="str">
        <f>"Sopradores, cortadores, polidores e acabadores, de vidro "</f>
        <v xml:space="preserve">Sopradores, cortadores, polidores e acabadores, de vidro </v>
      </c>
      <c r="C1823" t="s">
        <v>2292</v>
      </c>
    </row>
    <row r="1824" spans="1:3" x14ac:dyDescent="0.25">
      <c r="A1824" t="str">
        <f>"7315.1"</f>
        <v>7315.1</v>
      </c>
      <c r="B1824" t="str">
        <f>"Soprador de artigos de vidro"</f>
        <v>Soprador de artigos de vidro</v>
      </c>
      <c r="C1824" t="s">
        <v>2293</v>
      </c>
    </row>
    <row r="1825" spans="1:3" x14ac:dyDescent="0.25">
      <c r="A1825" t="str">
        <f>"7315.2"</f>
        <v>7315.2</v>
      </c>
      <c r="B1825" t="str">
        <f>"Cortador de vidro"</f>
        <v>Cortador de vidro</v>
      </c>
      <c r="C1825" t="s">
        <v>2294</v>
      </c>
    </row>
    <row r="1826" spans="1:3" x14ac:dyDescent="0.25">
      <c r="A1826" t="str">
        <f>"7315.3"</f>
        <v>7315.3</v>
      </c>
      <c r="B1826" t="str">
        <f>"Polidor e acabador de artigos de vidro"</f>
        <v>Polidor e acabador de artigos de vidro</v>
      </c>
      <c r="C1826" t="s">
        <v>2295</v>
      </c>
    </row>
    <row r="1827" spans="1:3" x14ac:dyDescent="0.25">
      <c r="A1827" t="str">
        <f>"7316"</f>
        <v>7316</v>
      </c>
      <c r="B1827" t="str">
        <f>"Lapidadores, gravadores e pintores-decoradores, de vidro, cerâmica e outros materiais "</f>
        <v xml:space="preserve">Lapidadores, gravadores e pintores-decoradores, de vidro, cerâmica e outros materiais </v>
      </c>
      <c r="C1827" t="s">
        <v>2296</v>
      </c>
    </row>
    <row r="1828" spans="1:3" x14ac:dyDescent="0.25">
      <c r="A1828" t="str">
        <f>"7316.1"</f>
        <v>7316.1</v>
      </c>
      <c r="B1828" t="str">
        <f>"Lapidador e gravador, de vidro, cerâmica e outros materiais"</f>
        <v>Lapidador e gravador, de vidro, cerâmica e outros materiais</v>
      </c>
      <c r="C1828" t="s">
        <v>2297</v>
      </c>
    </row>
    <row r="1829" spans="1:3" x14ac:dyDescent="0.25">
      <c r="A1829" t="str">
        <f>"7316.2"</f>
        <v>7316.2</v>
      </c>
      <c r="B1829" t="str">
        <f>"Pintor-decorador de vidro, cerâmica e outros materiais"</f>
        <v>Pintor-decorador de vidro, cerâmica e outros materiais</v>
      </c>
      <c r="C1829" t="s">
        <v>2298</v>
      </c>
    </row>
    <row r="1830" spans="1:3" x14ac:dyDescent="0.25">
      <c r="A1830" t="str">
        <f>"7317"</f>
        <v>7317</v>
      </c>
      <c r="B1830" t="str">
        <f>"Artesãos de artigos em madeira, cestaria e materiais similares                                                                                                                                                                                                 "</f>
        <v xml:space="preserve">Artesãos de artigos em madeira, cestaria e materiais similares                                                                                                                                                                                                 </v>
      </c>
      <c r="C1830" t="s">
        <v>2299</v>
      </c>
    </row>
    <row r="1831" spans="1:3" x14ac:dyDescent="0.25">
      <c r="A1831" t="str">
        <f>"7317.1"</f>
        <v>7317.1</v>
      </c>
      <c r="B1831" t="str">
        <f>"Artesão de artigos em madeira"</f>
        <v>Artesão de artigos em madeira</v>
      </c>
      <c r="C1831" t="s">
        <v>2300</v>
      </c>
    </row>
    <row r="1832" spans="1:3" x14ac:dyDescent="0.25">
      <c r="A1832" t="str">
        <f>"7317.2"</f>
        <v>7317.2</v>
      </c>
      <c r="B1832" t="str">
        <f>"Artesão de cestaria e artigos similares"</f>
        <v>Artesão de cestaria e artigos similares</v>
      </c>
      <c r="C1832" t="s">
        <v>2301</v>
      </c>
    </row>
    <row r="1833" spans="1:3" x14ac:dyDescent="0.25">
      <c r="A1833" t="str">
        <f>"7318"</f>
        <v>7318</v>
      </c>
      <c r="B1833" t="str">
        <f>"Trabalhadores manuais de artigos têxteis, couro e materiais similares "</f>
        <v xml:space="preserve">Trabalhadores manuais de artigos têxteis, couro e materiais similares </v>
      </c>
      <c r="C1833" t="s">
        <v>2302</v>
      </c>
    </row>
    <row r="1834" spans="1:3" x14ac:dyDescent="0.25">
      <c r="A1834" t="str">
        <f>"7318.1"</f>
        <v>7318.1</v>
      </c>
      <c r="B1834" t="str">
        <f>"Artesão de rendas, bordados e tapeçarias, manuais "</f>
        <v xml:space="preserve">Artesão de rendas, bordados e tapeçarias, manuais </v>
      </c>
      <c r="C1834" t="s">
        <v>2303</v>
      </c>
    </row>
    <row r="1835" spans="1:3" x14ac:dyDescent="0.25">
      <c r="A1835" t="str">
        <f>"7318.2"</f>
        <v>7318.2</v>
      </c>
      <c r="B1835" t="str">
        <f>"Artesão de artigos de couro"</f>
        <v>Artesão de artigos de couro</v>
      </c>
      <c r="C1835" t="s">
        <v>2304</v>
      </c>
    </row>
    <row r="1836" spans="1:3" x14ac:dyDescent="0.25">
      <c r="A1836" t="str">
        <f>"7318.3"</f>
        <v>7318.3</v>
      </c>
      <c r="B1836" t="str">
        <f>"Outros trabalhadores manuais de artigos têxteis, couro e materiais similares"</f>
        <v>Outros trabalhadores manuais de artigos têxteis, couro e materiais similares</v>
      </c>
      <c r="C1836" t="s">
        <v>2305</v>
      </c>
    </row>
    <row r="1837" spans="1:3" x14ac:dyDescent="0.25">
      <c r="A1837" t="str">
        <f>"7319"</f>
        <v>7319</v>
      </c>
      <c r="B1837" t="str">
        <f>"Outros trabalhadores qualificados do fabrico de instrumentos de precisão, artesãos e similares"</f>
        <v>Outros trabalhadores qualificados do fabrico de instrumentos de precisão, artesãos e similares</v>
      </c>
      <c r="C1837" t="s">
        <v>2306</v>
      </c>
    </row>
    <row r="1838" spans="1:3" x14ac:dyDescent="0.25">
      <c r="A1838" t="str">
        <f>"7319.0"</f>
        <v>7319.0</v>
      </c>
      <c r="B1838" t="str">
        <f>"Outros trabalhadores qualificados do fabrico de instrumentos de precisão, artesãos e similares"</f>
        <v>Outros trabalhadores qualificados do fabrico de instrumentos de precisão, artesãos e similares</v>
      </c>
      <c r="C1838" t="s">
        <v>2307</v>
      </c>
    </row>
    <row r="1839" spans="1:3" x14ac:dyDescent="0.25">
      <c r="A1839" t="str">
        <f>"732"</f>
        <v>732</v>
      </c>
      <c r="B1839" t="str">
        <f>"Trabalhadores da impressão "</f>
        <v xml:space="preserve">Trabalhadores da impressão </v>
      </c>
      <c r="C1839" t="s">
        <v>2308</v>
      </c>
    </row>
    <row r="1840" spans="1:3" x14ac:dyDescent="0.25">
      <c r="A1840" t="str">
        <f>"7321"</f>
        <v>7321</v>
      </c>
      <c r="B1840" t="str">
        <f>"Operador de pré-impressão"</f>
        <v>Operador de pré-impressão</v>
      </c>
      <c r="C1840" t="s">
        <v>2309</v>
      </c>
    </row>
    <row r="1841" spans="1:3" x14ac:dyDescent="0.25">
      <c r="A1841" t="str">
        <f>"7321.0"</f>
        <v>7321.0</v>
      </c>
      <c r="B1841" t="str">
        <f>"Operador de pré-impressão"</f>
        <v>Operador de pré-impressão</v>
      </c>
      <c r="C1841" t="s">
        <v>2310</v>
      </c>
    </row>
    <row r="1842" spans="1:3" x14ac:dyDescent="0.25">
      <c r="A1842" t="str">
        <f>"7322"</f>
        <v>7322</v>
      </c>
      <c r="B1842" t="str">
        <f>"Serígrafo e outros operadores de impressão"</f>
        <v>Serígrafo e outros operadores de impressão</v>
      </c>
      <c r="C1842" t="s">
        <v>2311</v>
      </c>
    </row>
    <row r="1843" spans="1:3" x14ac:dyDescent="0.25">
      <c r="A1843" t="str">
        <f>"7322.1"</f>
        <v>7322.1</v>
      </c>
      <c r="B1843" t="str">
        <f>"Serígrafo e similar"</f>
        <v>Serígrafo e similar</v>
      </c>
      <c r="C1843" t="s">
        <v>2312</v>
      </c>
    </row>
    <row r="1844" spans="1:3" x14ac:dyDescent="0.25">
      <c r="A1844" t="str">
        <f>"7322.2"</f>
        <v>7322.2</v>
      </c>
      <c r="B1844" t="str">
        <f>"Outros operadores de impressão"</f>
        <v>Outros operadores de impressão</v>
      </c>
      <c r="C1844" t="s">
        <v>2313</v>
      </c>
    </row>
    <row r="1845" spans="1:3" x14ac:dyDescent="0.25">
      <c r="A1845" t="str">
        <f>"7323"</f>
        <v>7323</v>
      </c>
      <c r="B1845" t="str">
        <f>"Encadernadores e similares"</f>
        <v>Encadernadores e similares</v>
      </c>
      <c r="C1845" t="s">
        <v>2314</v>
      </c>
    </row>
    <row r="1846" spans="1:3" x14ac:dyDescent="0.25">
      <c r="A1846" t="str">
        <f>"7323.1"</f>
        <v>7323.1</v>
      </c>
      <c r="B1846" t="str">
        <f>"Encadernador "</f>
        <v xml:space="preserve">Encadernador </v>
      </c>
      <c r="C1846" t="s">
        <v>2315</v>
      </c>
    </row>
    <row r="1847" spans="1:3" x14ac:dyDescent="0.25">
      <c r="A1847" t="str">
        <f>"7323.2"</f>
        <v>7323.2</v>
      </c>
      <c r="B1847" t="str">
        <f>"Outros trabalhadores relacionados com o acabamento da impressão"</f>
        <v>Outros trabalhadores relacionados com o acabamento da impressão</v>
      </c>
      <c r="C1847" t="s">
        <v>2316</v>
      </c>
    </row>
    <row r="1848" spans="1:3" x14ac:dyDescent="0.25">
      <c r="A1848" t="str">
        <f>"74"</f>
        <v>74</v>
      </c>
      <c r="B1848" t="str">
        <f>"Trabalhadores qualificados em electricidade e em electrónica"</f>
        <v>Trabalhadores qualificados em electricidade e em electrónica</v>
      </c>
      <c r="C1848" t="s">
        <v>2317</v>
      </c>
    </row>
    <row r="1849" spans="1:3" x14ac:dyDescent="0.25">
      <c r="A1849" t="str">
        <f>"741"</f>
        <v>741</v>
      </c>
      <c r="B1849" t="str">
        <f>"Instaladores e reparadores de equipamento eléctrico"</f>
        <v>Instaladores e reparadores de equipamento eléctrico</v>
      </c>
      <c r="C1849" t="s">
        <v>2318</v>
      </c>
    </row>
    <row r="1850" spans="1:3" x14ac:dyDescent="0.25">
      <c r="A1850" t="str">
        <f>"7411"</f>
        <v>7411</v>
      </c>
      <c r="B1850" t="str">
        <f>"Electricista de construções e similares "</f>
        <v xml:space="preserve">Electricista de construções e similares </v>
      </c>
      <c r="C1850" t="s">
        <v>2319</v>
      </c>
    </row>
    <row r="1851" spans="1:3" x14ac:dyDescent="0.25">
      <c r="A1851" t="str">
        <f>"7411.0"</f>
        <v>7411.0</v>
      </c>
      <c r="B1851" t="str">
        <f>"Electricista de construções e similares "</f>
        <v xml:space="preserve">Electricista de construções e similares </v>
      </c>
      <c r="C1851" t="s">
        <v>2320</v>
      </c>
    </row>
    <row r="1852" spans="1:3" x14ac:dyDescent="0.25">
      <c r="A1852" t="str">
        <f>"7412"</f>
        <v>7412</v>
      </c>
      <c r="B1852" t="str">
        <f>"Electromecânico, electricista e instalador de máquinas e equipamentos eléctricos "</f>
        <v xml:space="preserve">Electromecânico, electricista e instalador de máquinas e equipamentos eléctricos </v>
      </c>
      <c r="C1852" t="s">
        <v>2321</v>
      </c>
    </row>
    <row r="1853" spans="1:3" x14ac:dyDescent="0.25">
      <c r="A1853" t="str">
        <f>"7412.1"</f>
        <v>7412.1</v>
      </c>
      <c r="B1853" t="str">
        <f>"Instalador de sistemas solares térmicos "</f>
        <v xml:space="preserve">Instalador de sistemas solares térmicos </v>
      </c>
      <c r="C1853" t="s">
        <v>2322</v>
      </c>
    </row>
    <row r="1854" spans="1:3" x14ac:dyDescent="0.25">
      <c r="A1854" t="str">
        <f>"7412.2"</f>
        <v>7412.2</v>
      </c>
      <c r="B1854" t="str">
        <f>"Instalador de sistemas solares fotovoltaicos "</f>
        <v xml:space="preserve">Instalador de sistemas solares fotovoltaicos </v>
      </c>
      <c r="C1854" t="s">
        <v>2323</v>
      </c>
    </row>
    <row r="1855" spans="1:3" x14ac:dyDescent="0.25">
      <c r="A1855" t="str">
        <f>"7412.3"</f>
        <v>7412.3</v>
      </c>
      <c r="B1855" t="str">
        <f>"Instalador de sistemas de bioenergia"</f>
        <v>Instalador de sistemas de bioenergia</v>
      </c>
      <c r="C1855" t="s">
        <v>2324</v>
      </c>
    </row>
    <row r="1856" spans="1:3" x14ac:dyDescent="0.25">
      <c r="A1856" t="str">
        <f>"7412.4"</f>
        <v>7412.4</v>
      </c>
      <c r="B1856" t="str">
        <f>"Electromecânico, electricista e outros instaladores de máquinas e equipamentos eléctricos "</f>
        <v xml:space="preserve">Electromecânico, electricista e outros instaladores de máquinas e equipamentos eléctricos </v>
      </c>
      <c r="C1856" t="s">
        <v>2325</v>
      </c>
    </row>
    <row r="1857" spans="1:3" x14ac:dyDescent="0.25">
      <c r="A1857" t="str">
        <f>"7413"</f>
        <v>7413</v>
      </c>
      <c r="B1857" t="str">
        <f>"Instalador e reparador de linhas eléctricas"</f>
        <v>Instalador e reparador de linhas eléctricas</v>
      </c>
      <c r="C1857" t="s">
        <v>2326</v>
      </c>
    </row>
    <row r="1858" spans="1:3" x14ac:dyDescent="0.25">
      <c r="A1858" t="str">
        <f>"7413.0"</f>
        <v>7413.0</v>
      </c>
      <c r="B1858" t="str">
        <f>"Instalador e reparador de linhas eléctricas"</f>
        <v>Instalador e reparador de linhas eléctricas</v>
      </c>
      <c r="C1858" t="s">
        <v>2327</v>
      </c>
    </row>
    <row r="1859" spans="1:3" x14ac:dyDescent="0.25">
      <c r="A1859" t="str">
        <f>"742"</f>
        <v>742</v>
      </c>
      <c r="B1859" t="str">
        <f>"Instaladores e reparadores, de equipamentos electrónicos e de telecomunicações"</f>
        <v>Instaladores e reparadores, de equipamentos electrónicos e de telecomunicações</v>
      </c>
      <c r="C1859" t="s">
        <v>2328</v>
      </c>
    </row>
    <row r="1860" spans="1:3" x14ac:dyDescent="0.25">
      <c r="A1860" t="str">
        <f>"7421"</f>
        <v>7421</v>
      </c>
      <c r="B1860" t="str">
        <f>"Mecânico e reparador de equipamentos electrónicos "</f>
        <v xml:space="preserve">Mecânico e reparador de equipamentos electrónicos </v>
      </c>
      <c r="C1860" t="s">
        <v>2329</v>
      </c>
    </row>
    <row r="1861" spans="1:3" x14ac:dyDescent="0.25">
      <c r="A1861" t="str">
        <f>"7421.0"</f>
        <v>7421.0</v>
      </c>
      <c r="B1861" t="str">
        <f>"Mecânico e reparador de equipamentos electrónicos "</f>
        <v xml:space="preserve">Mecânico e reparador de equipamentos electrónicos </v>
      </c>
      <c r="C1861" t="s">
        <v>2330</v>
      </c>
    </row>
    <row r="1862" spans="1:3" x14ac:dyDescent="0.25">
      <c r="A1862" t="str">
        <f>"7422"</f>
        <v>7422</v>
      </c>
      <c r="B1862" t="str">
        <f>"Instalador e reparador, de tecnologias de informação e comunicação  "</f>
        <v xml:space="preserve">Instalador e reparador, de tecnologias de informação e comunicação  </v>
      </c>
      <c r="C1862" t="s">
        <v>2331</v>
      </c>
    </row>
    <row r="1863" spans="1:3" x14ac:dyDescent="0.25">
      <c r="A1863" t="str">
        <f>"7422.0"</f>
        <v>7422.0</v>
      </c>
      <c r="B1863" t="str">
        <f>"Instalador e reparador, de tecnologias de informação e comunicação  "</f>
        <v xml:space="preserve">Instalador e reparador, de tecnologias de informação e comunicação  </v>
      </c>
      <c r="C1863" t="s">
        <v>2332</v>
      </c>
    </row>
    <row r="1864" spans="1:3" x14ac:dyDescent="0.25">
      <c r="A1864" t="str">
        <f>"75"</f>
        <v>75</v>
      </c>
      <c r="B1864" t="str">
        <f>"Trabalhadores da transformação de alimentos, da madeira, do vestuário e outras indústrias e artesanato "</f>
        <v xml:space="preserve">Trabalhadores da transformação de alimentos, da madeira, do vestuário e outras indústrias e artesanato </v>
      </c>
      <c r="C1864" t="s">
        <v>2333</v>
      </c>
    </row>
    <row r="1865" spans="1:3" x14ac:dyDescent="0.25">
      <c r="A1865" t="str">
        <f>"751"</f>
        <v>751</v>
      </c>
      <c r="B1865" t="str">
        <f>"Trabalhadores qualificados da transformação de alimentos "</f>
        <v xml:space="preserve">Trabalhadores qualificados da transformação de alimentos </v>
      </c>
      <c r="C1865" t="s">
        <v>2334</v>
      </c>
    </row>
    <row r="1866" spans="1:3" x14ac:dyDescent="0.25">
      <c r="A1866" t="str">
        <f>"7511"</f>
        <v>7511</v>
      </c>
      <c r="B1866" t="str">
        <f>"Preparadores de carne, peixe e similares"</f>
        <v>Preparadores de carne, peixe e similares</v>
      </c>
      <c r="C1866" t="s">
        <v>2335</v>
      </c>
    </row>
    <row r="1867" spans="1:3" x14ac:dyDescent="0.25">
      <c r="A1867" t="str">
        <f>"7511.1"</f>
        <v>7511.1</v>
      </c>
      <c r="B1867" t="str">
        <f>"Matador de animais"</f>
        <v>Matador de animais</v>
      </c>
      <c r="C1867" t="s">
        <v>2336</v>
      </c>
    </row>
    <row r="1868" spans="1:3" x14ac:dyDescent="0.25">
      <c r="A1868" t="str">
        <f>"7511.2"</f>
        <v>7511.2</v>
      </c>
      <c r="B1868" t="str">
        <f>"Cortador de carne"</f>
        <v>Cortador de carne</v>
      </c>
      <c r="C1868" t="s">
        <v>2337</v>
      </c>
    </row>
    <row r="1869" spans="1:3" x14ac:dyDescent="0.25">
      <c r="A1869" t="str">
        <f>"7511.3"</f>
        <v>7511.3</v>
      </c>
      <c r="B1869" t="str">
        <f>"Salsicheiro"</f>
        <v>Salsicheiro</v>
      </c>
      <c r="C1869" t="s">
        <v>2338</v>
      </c>
    </row>
    <row r="1870" spans="1:3" x14ac:dyDescent="0.25">
      <c r="A1870" t="str">
        <f>"7511.4"</f>
        <v>7511.4</v>
      </c>
      <c r="B1870" t="str">
        <f>"Preparador e conservador de peixe"</f>
        <v>Preparador e conservador de peixe</v>
      </c>
      <c r="C1870" t="s">
        <v>2339</v>
      </c>
    </row>
    <row r="1871" spans="1:3" x14ac:dyDescent="0.25">
      <c r="A1871" t="str">
        <f>"7511.5"</f>
        <v>7511.5</v>
      </c>
      <c r="B1871" t="str">
        <f>"Outros preparadores de carne, peixe e similares"</f>
        <v>Outros preparadores de carne, peixe e similares</v>
      </c>
      <c r="C1871" t="s">
        <v>2340</v>
      </c>
    </row>
    <row r="1872" spans="1:3" x14ac:dyDescent="0.25">
      <c r="A1872" t="str">
        <f>"7512"</f>
        <v>7512</v>
      </c>
      <c r="B1872" t="str">
        <f>"Padeiros, pasteleiros e confeiteiros"</f>
        <v>Padeiros, pasteleiros e confeiteiros</v>
      </c>
      <c r="C1872" t="s">
        <v>2341</v>
      </c>
    </row>
    <row r="1873" spans="1:3" x14ac:dyDescent="0.25">
      <c r="A1873" t="str">
        <f>"7512.1"</f>
        <v>7512.1</v>
      </c>
      <c r="B1873" t="str">
        <f>"Padeiro"</f>
        <v>Padeiro</v>
      </c>
      <c r="C1873" t="s">
        <v>2342</v>
      </c>
    </row>
    <row r="1874" spans="1:3" x14ac:dyDescent="0.25">
      <c r="A1874" t="str">
        <f>"7512.2"</f>
        <v>7512.2</v>
      </c>
      <c r="B1874" t="str">
        <f>"Pasteleiro "</f>
        <v xml:space="preserve">Pasteleiro </v>
      </c>
      <c r="C1874" t="s">
        <v>2343</v>
      </c>
    </row>
    <row r="1875" spans="1:3" x14ac:dyDescent="0.25">
      <c r="A1875" t="str">
        <f>"7512.3"</f>
        <v>7512.3</v>
      </c>
      <c r="B1875" t="str">
        <f>"Confeiteiro "</f>
        <v xml:space="preserve">Confeiteiro </v>
      </c>
      <c r="C1875" t="s">
        <v>2344</v>
      </c>
    </row>
    <row r="1876" spans="1:3" x14ac:dyDescent="0.25">
      <c r="A1876" t="str">
        <f>"7513"</f>
        <v>7513</v>
      </c>
      <c r="B1876" t="str">
        <f>"Trabalhador do fabrico de produtos lácteos "</f>
        <v xml:space="preserve">Trabalhador do fabrico de produtos lácteos </v>
      </c>
      <c r="C1876" t="s">
        <v>2345</v>
      </c>
    </row>
    <row r="1877" spans="1:3" x14ac:dyDescent="0.25">
      <c r="A1877" t="str">
        <f>"7513.0"</f>
        <v>7513.0</v>
      </c>
      <c r="B1877" t="str">
        <f>"Trabalhador do fabrico de produtos lácteos "</f>
        <v xml:space="preserve">Trabalhador do fabrico de produtos lácteos </v>
      </c>
      <c r="C1877" t="s">
        <v>2346</v>
      </c>
    </row>
    <row r="1878" spans="1:3" x14ac:dyDescent="0.25">
      <c r="A1878" t="str">
        <f>"7514"</f>
        <v>7514</v>
      </c>
      <c r="B1878" t="str">
        <f>"Conserveiro de frutas, legumes e similares"</f>
        <v>Conserveiro de frutas, legumes e similares</v>
      </c>
      <c r="C1878" t="s">
        <v>2347</v>
      </c>
    </row>
    <row r="1879" spans="1:3" x14ac:dyDescent="0.25">
      <c r="A1879" t="str">
        <f>"7514.0"</f>
        <v>7514.0</v>
      </c>
      <c r="B1879" t="str">
        <f>"Conserveiro de frutas, legumes e similares"</f>
        <v>Conserveiro de frutas, legumes e similares</v>
      </c>
      <c r="C1879" t="s">
        <v>2348</v>
      </c>
    </row>
    <row r="1880" spans="1:3" x14ac:dyDescent="0.25">
      <c r="A1880" t="str">
        <f>"7515"</f>
        <v>7515</v>
      </c>
      <c r="B1880" t="str">
        <f>"Provadores e classificadores, de alimentos e bebidas"</f>
        <v>Provadores e classificadores, de alimentos e bebidas</v>
      </c>
      <c r="C1880" t="s">
        <v>2349</v>
      </c>
    </row>
    <row r="1881" spans="1:3" x14ac:dyDescent="0.25">
      <c r="A1881" t="str">
        <f>"7515.0"</f>
        <v>7515.0</v>
      </c>
      <c r="B1881" t="str">
        <f>"Provadores e classificadores, de alimentos e bebidas"</f>
        <v>Provadores e classificadores, de alimentos e bebidas</v>
      </c>
      <c r="C1881" t="s">
        <v>2350</v>
      </c>
    </row>
    <row r="1882" spans="1:3" x14ac:dyDescent="0.25">
      <c r="A1882" t="str">
        <f>"7516"</f>
        <v>7516</v>
      </c>
      <c r="B1882" t="str">
        <f>"Preparador e transformador, de tabaco e seus produtos "</f>
        <v xml:space="preserve">Preparador e transformador, de tabaco e seus produtos </v>
      </c>
      <c r="C1882" t="s">
        <v>2351</v>
      </c>
    </row>
    <row r="1883" spans="1:3" x14ac:dyDescent="0.25">
      <c r="A1883" t="str">
        <f>"7516.0"</f>
        <v>7516.0</v>
      </c>
      <c r="B1883" t="str">
        <f>"Preparador e transformador, de tabaco e seus produtos "</f>
        <v xml:space="preserve">Preparador e transformador, de tabaco e seus produtos </v>
      </c>
      <c r="C1883" t="s">
        <v>2352</v>
      </c>
    </row>
    <row r="1884" spans="1:3" x14ac:dyDescent="0.25">
      <c r="A1884" t="str">
        <f>"752"</f>
        <v>752</v>
      </c>
      <c r="B1884" t="str">
        <f>"Trabalhadores do tratamento da madeira e cortiça, marceneiros e similares"</f>
        <v>Trabalhadores do tratamento da madeira e cortiça, marceneiros e similares</v>
      </c>
      <c r="C1884" t="s">
        <v>2353</v>
      </c>
    </row>
    <row r="1885" spans="1:3" x14ac:dyDescent="0.25">
      <c r="A1885" t="str">
        <f>"7521"</f>
        <v>7521</v>
      </c>
      <c r="B1885" t="str">
        <f>"Trabalhadores do tratamento da madeira e cortiça"</f>
        <v>Trabalhadores do tratamento da madeira e cortiça</v>
      </c>
      <c r="C1885" t="s">
        <v>2354</v>
      </c>
    </row>
    <row r="1886" spans="1:3" x14ac:dyDescent="0.25">
      <c r="A1886" t="str">
        <f>"7521.1"</f>
        <v>7521.1</v>
      </c>
      <c r="B1886" t="str">
        <f>"Trabalhador do tratamento da madeira "</f>
        <v xml:space="preserve">Trabalhador do tratamento da madeira </v>
      </c>
      <c r="C1886" t="s">
        <v>2355</v>
      </c>
    </row>
    <row r="1887" spans="1:3" x14ac:dyDescent="0.25">
      <c r="A1887" t="str">
        <f>"7521.2"</f>
        <v>7521.2</v>
      </c>
      <c r="B1887" t="str">
        <f>"Trabalhador do tratamento da cortiça"</f>
        <v>Trabalhador do tratamento da cortiça</v>
      </c>
      <c r="C1887" t="s">
        <v>2356</v>
      </c>
    </row>
    <row r="1888" spans="1:3" x14ac:dyDescent="0.25">
      <c r="A1888" t="str">
        <f>"7522"</f>
        <v>7522</v>
      </c>
      <c r="B1888" t="str">
        <f>"Marceneiros e similares "</f>
        <v xml:space="preserve">Marceneiros e similares </v>
      </c>
      <c r="C1888" t="s">
        <v>2357</v>
      </c>
    </row>
    <row r="1889" spans="1:3" x14ac:dyDescent="0.25">
      <c r="A1889" t="str">
        <f>"7522.1"</f>
        <v>7522.1</v>
      </c>
      <c r="B1889" t="str">
        <f>"Marceneiro"</f>
        <v>Marceneiro</v>
      </c>
      <c r="C1889" t="s">
        <v>2358</v>
      </c>
    </row>
    <row r="1890" spans="1:3" x14ac:dyDescent="0.25">
      <c r="A1890" t="str">
        <f>"7522.2"</f>
        <v>7522.2</v>
      </c>
      <c r="B1890" t="str">
        <f>"Tanoeiro, embutidor e outros similares a marceneiro "</f>
        <v xml:space="preserve">Tanoeiro, embutidor e outros similares a marceneiro </v>
      </c>
      <c r="C1890" t="s">
        <v>2359</v>
      </c>
    </row>
    <row r="1891" spans="1:3" x14ac:dyDescent="0.25">
      <c r="A1891" t="str">
        <f>"7523"</f>
        <v>7523</v>
      </c>
      <c r="B1891" t="str">
        <f>"Operador de máquinas e de equipamentos para trabalhar madeira e cortiça"</f>
        <v>Operador de máquinas e de equipamentos para trabalhar madeira e cortiça</v>
      </c>
      <c r="C1891" t="s">
        <v>2360</v>
      </c>
    </row>
    <row r="1892" spans="1:3" x14ac:dyDescent="0.25">
      <c r="A1892" t="str">
        <f>"7523.1"</f>
        <v>7523.1</v>
      </c>
      <c r="B1892" t="str">
        <f>"Operador de máquinas e de equipamentos para trabalhar madeira"</f>
        <v>Operador de máquinas e de equipamentos para trabalhar madeira</v>
      </c>
      <c r="C1892" t="s">
        <v>2361</v>
      </c>
    </row>
    <row r="1893" spans="1:3" x14ac:dyDescent="0.25">
      <c r="A1893" t="str">
        <f>"7523.2"</f>
        <v>7523.2</v>
      </c>
      <c r="B1893" t="str">
        <f>"Operador de máquinas e de equipamentos para trabalhar  cortiça"</f>
        <v>Operador de máquinas e de equipamentos para trabalhar  cortiça</v>
      </c>
      <c r="C1893" t="s">
        <v>2362</v>
      </c>
    </row>
    <row r="1894" spans="1:3" x14ac:dyDescent="0.25">
      <c r="A1894" t="str">
        <f>"753"</f>
        <v>753</v>
      </c>
      <c r="B1894" t="str">
        <f>"Trabalhadores da confecção de vestuário, curtidores de peles, sapateiros e similares"</f>
        <v>Trabalhadores da confecção de vestuário, curtidores de peles, sapateiros e similares</v>
      </c>
      <c r="C1894" t="s">
        <v>2363</v>
      </c>
    </row>
    <row r="1895" spans="1:3" x14ac:dyDescent="0.25">
      <c r="A1895" t="str">
        <f>"7531"</f>
        <v>7531</v>
      </c>
      <c r="B1895" t="str">
        <f>"Alfaiates, costureiros, peleiros e chapeleiros   "</f>
        <v xml:space="preserve">Alfaiates, costureiros, peleiros e chapeleiros   </v>
      </c>
      <c r="C1895" t="s">
        <v>2364</v>
      </c>
    </row>
    <row r="1896" spans="1:3" x14ac:dyDescent="0.25">
      <c r="A1896" t="str">
        <f>"7531.1"</f>
        <v>7531.1</v>
      </c>
      <c r="B1896" t="str">
        <f>"Alfaiate e costureiro "</f>
        <v xml:space="preserve">Alfaiate e costureiro </v>
      </c>
      <c r="C1896" t="s">
        <v>2365</v>
      </c>
    </row>
    <row r="1897" spans="1:3" x14ac:dyDescent="0.25">
      <c r="A1897" t="str">
        <f>"7531.2"</f>
        <v>7531.2</v>
      </c>
      <c r="B1897" t="str">
        <f>"Peleiro"</f>
        <v>Peleiro</v>
      </c>
      <c r="C1897" t="s">
        <v>2366</v>
      </c>
    </row>
    <row r="1898" spans="1:3" x14ac:dyDescent="0.25">
      <c r="A1898" t="str">
        <f>"7531.3"</f>
        <v>7531.3</v>
      </c>
      <c r="B1898" t="str">
        <f>"Chapeleiro "</f>
        <v xml:space="preserve">Chapeleiro </v>
      </c>
      <c r="C1898" t="s">
        <v>2367</v>
      </c>
    </row>
    <row r="1899" spans="1:3" x14ac:dyDescent="0.25">
      <c r="A1899" t="str">
        <f>"7532"</f>
        <v>7532</v>
      </c>
      <c r="B1899" t="str">
        <f>"Riscador de moldes e cortadores, de tecido, couro e similares "</f>
        <v xml:space="preserve">Riscador de moldes e cortadores, de tecido, couro e similares </v>
      </c>
      <c r="C1899" t="s">
        <v>2368</v>
      </c>
    </row>
    <row r="1900" spans="1:3" x14ac:dyDescent="0.25">
      <c r="A1900" t="str">
        <f>"7532.1"</f>
        <v>7532.1</v>
      </c>
      <c r="B1900" t="str">
        <f>"Riscador de moldes e cortador de tecidos"</f>
        <v>Riscador de moldes e cortador de tecidos</v>
      </c>
      <c r="C1900" t="s">
        <v>2369</v>
      </c>
    </row>
    <row r="1901" spans="1:3" x14ac:dyDescent="0.25">
      <c r="A1901" t="str">
        <f>"7532.2"</f>
        <v>7532.2</v>
      </c>
      <c r="B1901" t="str">
        <f>"Riscador de moldes e cortador, de couros e similares"</f>
        <v>Riscador de moldes e cortador, de couros e similares</v>
      </c>
      <c r="C1901" t="s">
        <v>2370</v>
      </c>
    </row>
    <row r="1902" spans="1:3" x14ac:dyDescent="0.25">
      <c r="A1902" t="str">
        <f>"7533"</f>
        <v>7533</v>
      </c>
      <c r="B1902" t="str">
        <f>"Trabalhadores de costura, bordados e similares "</f>
        <v xml:space="preserve">Trabalhadores de costura, bordados e similares </v>
      </c>
      <c r="C1902" t="s">
        <v>2371</v>
      </c>
    </row>
    <row r="1903" spans="1:3" x14ac:dyDescent="0.25">
      <c r="A1903" t="str">
        <f>"7533.1"</f>
        <v>7533.1</v>
      </c>
      <c r="B1903" t="str">
        <f>"Bordador"</f>
        <v>Bordador</v>
      </c>
      <c r="C1903" t="s">
        <v>2372</v>
      </c>
    </row>
    <row r="1904" spans="1:3" x14ac:dyDescent="0.25">
      <c r="A1904" t="str">
        <f>"7533.2"</f>
        <v>7533.2</v>
      </c>
      <c r="B1904" t="str">
        <f>"Trabalhador de costura e similares "</f>
        <v xml:space="preserve">Trabalhador de costura e similares </v>
      </c>
      <c r="C1904" t="s">
        <v>2373</v>
      </c>
    </row>
    <row r="1905" spans="1:3" x14ac:dyDescent="0.25">
      <c r="A1905" t="str">
        <f>"7534"</f>
        <v>7534</v>
      </c>
      <c r="B1905" t="str">
        <f>"Estofadores e similares"</f>
        <v>Estofadores e similares</v>
      </c>
      <c r="C1905" t="s">
        <v>2374</v>
      </c>
    </row>
    <row r="1906" spans="1:3" x14ac:dyDescent="0.25">
      <c r="A1906" t="str">
        <f>"7534.1"</f>
        <v>7534.1</v>
      </c>
      <c r="B1906" t="str">
        <f>"Estofador"</f>
        <v>Estofador</v>
      </c>
      <c r="C1906" t="s">
        <v>2375</v>
      </c>
    </row>
    <row r="1907" spans="1:3" x14ac:dyDescent="0.25">
      <c r="A1907" t="str">
        <f>"7534.2"</f>
        <v>7534.2</v>
      </c>
      <c r="B1907" t="str">
        <f>"Colchoeiro"</f>
        <v>Colchoeiro</v>
      </c>
      <c r="C1907" t="s">
        <v>2376</v>
      </c>
    </row>
    <row r="1908" spans="1:3" x14ac:dyDescent="0.25">
      <c r="A1908" t="str">
        <f>"7534.3"</f>
        <v>7534.3</v>
      </c>
      <c r="B1908" t="str">
        <f>"Outros trabalhadores similares a estofador"</f>
        <v>Outros trabalhadores similares a estofador</v>
      </c>
      <c r="C1908" t="s">
        <v>2377</v>
      </c>
    </row>
    <row r="1909" spans="1:3" x14ac:dyDescent="0.25">
      <c r="A1909" t="str">
        <f>"7535"</f>
        <v>7535</v>
      </c>
      <c r="B1909" t="str">
        <f>"Curtidores, preparadores e acabadores, de peles "</f>
        <v xml:space="preserve">Curtidores, preparadores e acabadores, de peles </v>
      </c>
      <c r="C1909" t="s">
        <v>2378</v>
      </c>
    </row>
    <row r="1910" spans="1:3" x14ac:dyDescent="0.25">
      <c r="A1910" t="str">
        <f>"7535.1"</f>
        <v>7535.1</v>
      </c>
      <c r="B1910" t="str">
        <f>"Curtidor de peles"</f>
        <v>Curtidor de peles</v>
      </c>
      <c r="C1910" t="s">
        <v>2379</v>
      </c>
    </row>
    <row r="1911" spans="1:3" x14ac:dyDescent="0.25">
      <c r="A1911" t="str">
        <f>"7535.2"</f>
        <v>7535.2</v>
      </c>
      <c r="B1911" t="str">
        <f>"Preparador e acabador de peles"</f>
        <v>Preparador e acabador de peles</v>
      </c>
      <c r="C1911" t="s">
        <v>2380</v>
      </c>
    </row>
    <row r="1912" spans="1:3" x14ac:dyDescent="0.25">
      <c r="A1912" t="str">
        <f>"7536"</f>
        <v>7536</v>
      </c>
      <c r="B1912" t="str">
        <f>"Sapateiros e similares"</f>
        <v>Sapateiros e similares</v>
      </c>
      <c r="C1912" t="s">
        <v>2381</v>
      </c>
    </row>
    <row r="1913" spans="1:3" x14ac:dyDescent="0.25">
      <c r="A1913" t="str">
        <f>"7536.1"</f>
        <v>7536.1</v>
      </c>
      <c r="B1913" t="str">
        <f>"Sapateiro"</f>
        <v>Sapateiro</v>
      </c>
      <c r="C1913" t="s">
        <v>2382</v>
      </c>
    </row>
    <row r="1914" spans="1:3" x14ac:dyDescent="0.25">
      <c r="A1914" t="str">
        <f>"7536.2"</f>
        <v>7536.2</v>
      </c>
      <c r="B1914" t="str">
        <f>"Maleiro"</f>
        <v>Maleiro</v>
      </c>
      <c r="C1914" t="s">
        <v>2383</v>
      </c>
    </row>
    <row r="1915" spans="1:3" x14ac:dyDescent="0.25">
      <c r="A1915" t="str">
        <f>"7536.3"</f>
        <v>7536.3</v>
      </c>
      <c r="B1915" t="str">
        <f>"Correeiro"</f>
        <v>Correeiro</v>
      </c>
      <c r="C1915" t="s">
        <v>2384</v>
      </c>
    </row>
    <row r="1916" spans="1:3" x14ac:dyDescent="0.25">
      <c r="A1916" t="str">
        <f>"7536.4"</f>
        <v>7536.4</v>
      </c>
      <c r="B1916" t="str">
        <f>"Albardeiro e similares"</f>
        <v>Albardeiro e similares</v>
      </c>
      <c r="C1916" t="s">
        <v>2385</v>
      </c>
    </row>
    <row r="1917" spans="1:3" x14ac:dyDescent="0.25">
      <c r="A1917" t="str">
        <f>"754"</f>
        <v>754</v>
      </c>
      <c r="B1917" t="str">
        <f>"Trabalhadores de outros ofícios "</f>
        <v xml:space="preserve">Trabalhadores de outros ofícios </v>
      </c>
      <c r="C1917" t="s">
        <v>2386</v>
      </c>
    </row>
    <row r="1918" spans="1:3" x14ac:dyDescent="0.25">
      <c r="A1918" t="str">
        <f>"7541"</f>
        <v>7541</v>
      </c>
      <c r="B1918" t="str">
        <f>"Mergulhador "</f>
        <v xml:space="preserve">Mergulhador </v>
      </c>
      <c r="C1918" t="s">
        <v>2387</v>
      </c>
    </row>
    <row r="1919" spans="1:3" x14ac:dyDescent="0.25">
      <c r="A1919" t="str">
        <f>"7541.0"</f>
        <v>7541.0</v>
      </c>
      <c r="B1919" t="str">
        <f>"Mergulhador "</f>
        <v xml:space="preserve">Mergulhador </v>
      </c>
      <c r="C1919" t="s">
        <v>2388</v>
      </c>
    </row>
    <row r="1920" spans="1:3" x14ac:dyDescent="0.25">
      <c r="A1920" t="str">
        <f>"7542"</f>
        <v>7542</v>
      </c>
      <c r="B1920" t="str">
        <f>"Carregador de fogo e dinamitador "</f>
        <v xml:space="preserve">Carregador de fogo e dinamitador </v>
      </c>
      <c r="C1920" t="s">
        <v>2389</v>
      </c>
    </row>
    <row r="1921" spans="1:3" x14ac:dyDescent="0.25">
      <c r="A1921" t="str">
        <f>"7542.0"</f>
        <v>7542.0</v>
      </c>
      <c r="B1921" t="str">
        <f>"Carregador de fogo e dinamitador "</f>
        <v xml:space="preserve">Carregador de fogo e dinamitador </v>
      </c>
      <c r="C1921" t="s">
        <v>2390</v>
      </c>
    </row>
    <row r="1922" spans="1:3" x14ac:dyDescent="0.25">
      <c r="A1922" t="str">
        <f>"7543"</f>
        <v>7543</v>
      </c>
      <c r="B1922" t="str">
        <f>"Calibrador e verificador de produtos (excepto alimentos e bebidas)"</f>
        <v>Calibrador e verificador de produtos (excepto alimentos e bebidas)</v>
      </c>
      <c r="C1922" t="s">
        <v>2391</v>
      </c>
    </row>
    <row r="1923" spans="1:3" x14ac:dyDescent="0.25">
      <c r="A1923" t="str">
        <f>"7543.0"</f>
        <v>7543.0</v>
      </c>
      <c r="B1923" t="str">
        <f>"Calibrador e verificador de produtos (excepto alimentos e bebidas)"</f>
        <v>Calibrador e verificador de produtos (excepto alimentos e bebidas)</v>
      </c>
      <c r="C1923" t="s">
        <v>2392</v>
      </c>
    </row>
    <row r="1924" spans="1:3" x14ac:dyDescent="0.25">
      <c r="A1924" t="str">
        <f>"7544"</f>
        <v>7544</v>
      </c>
      <c r="B1924" t="str">
        <f>"Fumigador e outros controladores, de pragas e ervas daninhas"</f>
        <v>Fumigador e outros controladores, de pragas e ervas daninhas</v>
      </c>
      <c r="C1924" t="s">
        <v>2393</v>
      </c>
    </row>
    <row r="1925" spans="1:3" x14ac:dyDescent="0.25">
      <c r="A1925" t="str">
        <f>"7544.0"</f>
        <v>7544.0</v>
      </c>
      <c r="B1925" t="str">
        <f>"Fumigador e outros controladores, de pragas e ervas daninhas"</f>
        <v>Fumigador e outros controladores, de pragas e ervas daninhas</v>
      </c>
      <c r="C1925" t="s">
        <v>2394</v>
      </c>
    </row>
    <row r="1926" spans="1:3" x14ac:dyDescent="0.25">
      <c r="A1926" t="str">
        <f>"7549"</f>
        <v>7549</v>
      </c>
      <c r="B1926" t="str">
        <f>"Trabalhador de outros ofícios, n.e."</f>
        <v>Trabalhador de outros ofícios, n.e.</v>
      </c>
      <c r="C1926" t="s">
        <v>2395</v>
      </c>
    </row>
    <row r="1927" spans="1:3" x14ac:dyDescent="0.25">
      <c r="A1927" t="str">
        <f>"7549.1"</f>
        <v>7549.1</v>
      </c>
      <c r="B1927" t="str">
        <f>"Trabalhador de vidro de óptica"</f>
        <v>Trabalhador de vidro de óptica</v>
      </c>
      <c r="C1927" t="s">
        <v>2396</v>
      </c>
    </row>
    <row r="1928" spans="1:3" x14ac:dyDescent="0.25">
      <c r="A1928" t="str">
        <f>"7549.2"</f>
        <v>7549.2</v>
      </c>
      <c r="B1928" t="str">
        <f>"Salineiro "</f>
        <v xml:space="preserve">Salineiro </v>
      </c>
      <c r="C1928" t="s">
        <v>2397</v>
      </c>
    </row>
    <row r="1929" spans="1:3" x14ac:dyDescent="0.25">
      <c r="A1929" t="str">
        <f>"7549.3"</f>
        <v>7549.3</v>
      </c>
      <c r="B1929" t="str">
        <f>"Trabalhador de fabrico de foguetes (fogueteiro)"</f>
        <v>Trabalhador de fabrico de foguetes (fogueteiro)</v>
      </c>
      <c r="C1929" t="s">
        <v>2398</v>
      </c>
    </row>
    <row r="1930" spans="1:3" x14ac:dyDescent="0.25">
      <c r="A1930" t="str">
        <f>"7549.4"</f>
        <v>7549.4</v>
      </c>
      <c r="B1930" t="str">
        <f>"Trabalhador de outros ofícios diversos, n.e."</f>
        <v>Trabalhador de outros ofícios diversos, n.e.</v>
      </c>
      <c r="C1930" t="s">
        <v>2399</v>
      </c>
    </row>
    <row r="1931" spans="1:3" x14ac:dyDescent="0.25">
      <c r="A1931" t="str">
        <f>"8"</f>
        <v>8</v>
      </c>
      <c r="B1931" t="str">
        <f>"Operadores de instalações e máquinas e trabalhadores da montagem"</f>
        <v>Operadores de instalações e máquinas e trabalhadores da montagem</v>
      </c>
      <c r="C1931" t="s">
        <v>2400</v>
      </c>
    </row>
    <row r="1932" spans="1:3" x14ac:dyDescent="0.25">
      <c r="A1932" t="str">
        <f>"81"</f>
        <v>81</v>
      </c>
      <c r="B1932" t="str">
        <f>"Operadores de instalações fixas e máquinas"</f>
        <v>Operadores de instalações fixas e máquinas</v>
      </c>
      <c r="C1932" t="s">
        <v>2401</v>
      </c>
    </row>
    <row r="1933" spans="1:3" x14ac:dyDescent="0.25">
      <c r="A1933" t="str">
        <f>"811"</f>
        <v>811</v>
      </c>
      <c r="B1933" t="str">
        <f>"Operadores de instalações, da extracção mineira e de processamento de minerais "</f>
        <v xml:space="preserve">Operadores de instalações, da extracção mineira e de processamento de minerais </v>
      </c>
      <c r="C1933" t="s">
        <v>2402</v>
      </c>
    </row>
    <row r="1934" spans="1:3" x14ac:dyDescent="0.25">
      <c r="A1934" t="str">
        <f>"8111"</f>
        <v>8111</v>
      </c>
      <c r="B1934" t="str">
        <f>"Mineiros e trabalhadores das pedreiras "</f>
        <v xml:space="preserve">Mineiros e trabalhadores das pedreiras </v>
      </c>
      <c r="C1934" t="s">
        <v>2403</v>
      </c>
    </row>
    <row r="1935" spans="1:3" x14ac:dyDescent="0.25">
      <c r="A1935" t="str">
        <f>"8111.1"</f>
        <v>8111.1</v>
      </c>
      <c r="B1935" t="str">
        <f>"Mineiro"</f>
        <v>Mineiro</v>
      </c>
      <c r="C1935" t="s">
        <v>2404</v>
      </c>
    </row>
    <row r="1936" spans="1:3" x14ac:dyDescent="0.25">
      <c r="A1936" t="str">
        <f>"8111.2"</f>
        <v>8111.2</v>
      </c>
      <c r="B1936" t="str">
        <f>"Trabalhador das pedreiras"</f>
        <v>Trabalhador das pedreiras</v>
      </c>
      <c r="C1936" t="s">
        <v>2405</v>
      </c>
    </row>
    <row r="1937" spans="1:3" x14ac:dyDescent="0.25">
      <c r="A1937" t="str">
        <f>"8112"</f>
        <v>8112</v>
      </c>
      <c r="B1937" t="str">
        <f>"Operadores de instalações de processamento de minérios e rochas"</f>
        <v>Operadores de instalações de processamento de minérios e rochas</v>
      </c>
      <c r="C1937" t="s">
        <v>2406</v>
      </c>
    </row>
    <row r="1938" spans="1:3" x14ac:dyDescent="0.25">
      <c r="A1938" t="str">
        <f>"8112.1"</f>
        <v>8112.1</v>
      </c>
      <c r="B1938" t="str">
        <f>"Operador de instalações de processamento de minérios"</f>
        <v>Operador de instalações de processamento de minérios</v>
      </c>
      <c r="C1938" t="s">
        <v>2407</v>
      </c>
    </row>
    <row r="1939" spans="1:3" x14ac:dyDescent="0.25">
      <c r="A1939" t="str">
        <f>"8112.2"</f>
        <v>8112.2</v>
      </c>
      <c r="B1939" t="str">
        <f>"Operador de instalações de processamento de rochas"</f>
        <v>Operador de instalações de processamento de rochas</v>
      </c>
      <c r="C1939" t="s">
        <v>2408</v>
      </c>
    </row>
    <row r="1940" spans="1:3" x14ac:dyDescent="0.25">
      <c r="A1940" t="str">
        <f>"8113"</f>
        <v>8113</v>
      </c>
      <c r="B1940" t="str">
        <f>"Perfurador de poços, sondador e similares"</f>
        <v>Perfurador de poços, sondador e similares</v>
      </c>
      <c r="C1940" t="s">
        <v>2409</v>
      </c>
    </row>
    <row r="1941" spans="1:3" x14ac:dyDescent="0.25">
      <c r="A1941" t="str">
        <f>"8113.0"</f>
        <v>8113.0</v>
      </c>
      <c r="B1941" t="str">
        <f>"Perfurador de poços, sondador e similares"</f>
        <v>Perfurador de poços, sondador e similares</v>
      </c>
      <c r="C1941" t="s">
        <v>2410</v>
      </c>
    </row>
    <row r="1942" spans="1:3" x14ac:dyDescent="0.25">
      <c r="A1942" t="str">
        <f>"8114"</f>
        <v>8114</v>
      </c>
      <c r="B1942" t="str">
        <f>"Operadores de máquinas para trabalhar cimento, pedra e outros minerais"</f>
        <v>Operadores de máquinas para trabalhar cimento, pedra e outros minerais</v>
      </c>
      <c r="C1942" t="s">
        <v>2411</v>
      </c>
    </row>
    <row r="1943" spans="1:3" x14ac:dyDescent="0.25">
      <c r="A1943" t="str">
        <f>"8114.1"</f>
        <v>8114.1</v>
      </c>
      <c r="B1943" t="str">
        <f>"Operador de máquinas para trabalhar o cimento"</f>
        <v>Operador de máquinas para trabalhar o cimento</v>
      </c>
      <c r="C1943" t="s">
        <v>2412</v>
      </c>
    </row>
    <row r="1944" spans="1:3" x14ac:dyDescent="0.25">
      <c r="A1944" t="str">
        <f>"8114.2"</f>
        <v>8114.2</v>
      </c>
      <c r="B1944" t="str">
        <f>"Operador de máquinas para trabalhar a pedra"</f>
        <v>Operador de máquinas para trabalhar a pedra</v>
      </c>
      <c r="C1944" t="s">
        <v>2413</v>
      </c>
    </row>
    <row r="1945" spans="1:3" x14ac:dyDescent="0.25">
      <c r="A1945" t="str">
        <f>"8114.3"</f>
        <v>8114.3</v>
      </c>
      <c r="B1945" t="str">
        <f>"Operador de máquinas para trabalhar outros minerais"</f>
        <v>Operador de máquinas para trabalhar outros minerais</v>
      </c>
      <c r="C1945" t="s">
        <v>2414</v>
      </c>
    </row>
    <row r="1946" spans="1:3" x14ac:dyDescent="0.25">
      <c r="A1946" t="str">
        <f>"812"</f>
        <v>812</v>
      </c>
      <c r="B1946" t="str">
        <f>"Operadores de instalações de transformação e acabamento, de metais "</f>
        <v xml:space="preserve">Operadores de instalações de transformação e acabamento, de metais </v>
      </c>
      <c r="C1946" t="s">
        <v>2415</v>
      </c>
    </row>
    <row r="1947" spans="1:3" x14ac:dyDescent="0.25">
      <c r="A1947" t="str">
        <f>"8121"</f>
        <v>8121</v>
      </c>
      <c r="B1947" t="str">
        <f>"Operadores de instalações de transformação de metais "</f>
        <v xml:space="preserve">Operadores de instalações de transformação de metais </v>
      </c>
      <c r="C1947" t="s">
        <v>2416</v>
      </c>
    </row>
    <row r="1948" spans="1:3" x14ac:dyDescent="0.25">
      <c r="A1948" t="str">
        <f>"8121.1"</f>
        <v>8121.1</v>
      </c>
      <c r="B1948" t="str">
        <f>"Operador de instalações de fornos e de primeira transformação de metais "</f>
        <v xml:space="preserve">Operador de instalações de fornos e de primeira transformação de metais </v>
      </c>
      <c r="C1948" t="s">
        <v>2417</v>
      </c>
    </row>
    <row r="1949" spans="1:3" x14ac:dyDescent="0.25">
      <c r="A1949" t="str">
        <f>"8121.2"</f>
        <v>8121.2</v>
      </c>
      <c r="B1949" t="str">
        <f>"Operador de instalações de fornos de segunda fusão, vazadores e laminadores, de metais "</f>
        <v xml:space="preserve">Operador de instalações de fornos de segunda fusão, vazadores e laminadores, de metais </v>
      </c>
      <c r="C1949" t="s">
        <v>2418</v>
      </c>
    </row>
    <row r="1950" spans="1:3" x14ac:dyDescent="0.25">
      <c r="A1950" t="str">
        <f>"8121.3"</f>
        <v>8121.3</v>
      </c>
      <c r="B1950" t="str">
        <f>"Operador de instalações de tratamento térmico de metais "</f>
        <v xml:space="preserve">Operador de instalações de tratamento térmico de metais </v>
      </c>
      <c r="C1950" t="s">
        <v>2419</v>
      </c>
    </row>
    <row r="1951" spans="1:3" x14ac:dyDescent="0.25">
      <c r="A1951" t="str">
        <f>"8121.4"</f>
        <v>8121.4</v>
      </c>
      <c r="B1951" t="str">
        <f>"Operador de instalações de trefilagem e estiragem"</f>
        <v>Operador de instalações de trefilagem e estiragem</v>
      </c>
      <c r="C1951" t="s">
        <v>2420</v>
      </c>
    </row>
    <row r="1952" spans="1:3" x14ac:dyDescent="0.25">
      <c r="A1952" t="str">
        <f>"8122"</f>
        <v>8122</v>
      </c>
      <c r="B1952" t="str">
        <f>"Operador de máquinas de revestimento, metalização e acabamento de metais"</f>
        <v>Operador de máquinas de revestimento, metalização e acabamento de metais</v>
      </c>
      <c r="C1952" t="s">
        <v>2421</v>
      </c>
    </row>
    <row r="1953" spans="1:3" x14ac:dyDescent="0.25">
      <c r="A1953" t="str">
        <f>"8122.0"</f>
        <v>8122.0</v>
      </c>
      <c r="B1953" t="str">
        <f>"Operador de máquinas de revestimento, metalização e acabamento de metais"</f>
        <v>Operador de máquinas de revestimento, metalização e acabamento de metais</v>
      </c>
      <c r="C1953" t="s">
        <v>2422</v>
      </c>
    </row>
    <row r="1954" spans="1:3" x14ac:dyDescent="0.25">
      <c r="A1954" t="str">
        <f>"813"</f>
        <v>813</v>
      </c>
      <c r="B1954" t="str">
        <f>"Operadores de instalações e máquinas, do fabrico de produtos químicos e fotográficos"</f>
        <v>Operadores de instalações e máquinas, do fabrico de produtos químicos e fotográficos</v>
      </c>
      <c r="C1954" t="s">
        <v>2423</v>
      </c>
    </row>
    <row r="1955" spans="1:3" x14ac:dyDescent="0.25">
      <c r="A1955" t="str">
        <f>"8131"</f>
        <v>8131</v>
      </c>
      <c r="B1955" t="str">
        <f>"Operadores de instalações e máquinas do fabrico de produtos químicos "</f>
        <v xml:space="preserve">Operadores de instalações e máquinas do fabrico de produtos químicos </v>
      </c>
      <c r="C1955" t="s">
        <v>2424</v>
      </c>
    </row>
    <row r="1956" spans="1:3" x14ac:dyDescent="0.25">
      <c r="A1956" t="str">
        <f>"8131.1"</f>
        <v>8131.1</v>
      </c>
      <c r="B1956" t="str">
        <f>"Operador de instalações e máquinas para moagem de substâncias químicas"</f>
        <v>Operador de instalações e máquinas para moagem de substâncias químicas</v>
      </c>
      <c r="C1956" t="s">
        <v>2425</v>
      </c>
    </row>
    <row r="1957" spans="1:3" x14ac:dyDescent="0.25">
      <c r="A1957" t="str">
        <f>"8131.2"</f>
        <v>8131.2</v>
      </c>
      <c r="B1957" t="str">
        <f>"Operador de instalações e máquinas para tratamento térmico de produtos químicos"</f>
        <v>Operador de instalações e máquinas para tratamento térmico de produtos químicos</v>
      </c>
      <c r="C1957" t="s">
        <v>2426</v>
      </c>
    </row>
    <row r="1958" spans="1:3" x14ac:dyDescent="0.25">
      <c r="A1958" t="str">
        <f>"8131.3"</f>
        <v>8131.3</v>
      </c>
      <c r="B1958" t="str">
        <f>"Operador de instalações e máquinas, para filtragem e separação química"</f>
        <v>Operador de instalações e máquinas, para filtragem e separação química</v>
      </c>
      <c r="C1958" t="s">
        <v>2427</v>
      </c>
    </row>
    <row r="1959" spans="1:3" x14ac:dyDescent="0.25">
      <c r="A1959" t="str">
        <f>"8131.4"</f>
        <v>8131.4</v>
      </c>
      <c r="B1959" t="str">
        <f>"Operador de instalações e máquinas, para reacção e verificação de produtos químicos "</f>
        <v xml:space="preserve">Operador de instalações e máquinas, para reacção e verificação de produtos químicos </v>
      </c>
      <c r="C1959" t="s">
        <v>2428</v>
      </c>
    </row>
    <row r="1960" spans="1:3" x14ac:dyDescent="0.25">
      <c r="A1960" t="str">
        <f>"8131.5"</f>
        <v>8131.5</v>
      </c>
      <c r="B1960" t="str">
        <f>"Operador de instalações e máquinas, para petróleo e gás"</f>
        <v>Operador de instalações e máquinas, para petróleo e gás</v>
      </c>
      <c r="C1960" t="s">
        <v>2429</v>
      </c>
    </row>
    <row r="1961" spans="1:3" x14ac:dyDescent="0.25">
      <c r="A1961" t="str">
        <f>"8131.6"</f>
        <v>8131.6</v>
      </c>
      <c r="B1961" t="str">
        <f>"Operador de instalações e máquinas para outros tratamentos químicos "</f>
        <v xml:space="preserve">Operador de instalações e máquinas para outros tratamentos químicos </v>
      </c>
      <c r="C1961" t="s">
        <v>2430</v>
      </c>
    </row>
    <row r="1962" spans="1:3" x14ac:dyDescent="0.25">
      <c r="A1962" t="str">
        <f>"8132"</f>
        <v>8132</v>
      </c>
      <c r="B1962" t="str">
        <f>"Operador de máquinas para o fabrico de produtos fotográficos "</f>
        <v xml:space="preserve">Operador de máquinas para o fabrico de produtos fotográficos </v>
      </c>
      <c r="C1962" t="s">
        <v>2431</v>
      </c>
    </row>
    <row r="1963" spans="1:3" x14ac:dyDescent="0.25">
      <c r="A1963" t="str">
        <f>"8132.0"</f>
        <v>8132.0</v>
      </c>
      <c r="B1963" t="str">
        <f>"Operador de máquinas para o fabrico de produtos fotográficos "</f>
        <v xml:space="preserve">Operador de máquinas para o fabrico de produtos fotográficos </v>
      </c>
      <c r="C1963" t="s">
        <v>2432</v>
      </c>
    </row>
    <row r="1964" spans="1:3" x14ac:dyDescent="0.25">
      <c r="A1964" t="str">
        <f>"814"</f>
        <v>814</v>
      </c>
      <c r="B1964" t="str">
        <f>"Operadores de máquinas para o fabrico de produtos de borracha, plástico e papel "</f>
        <v xml:space="preserve">Operadores de máquinas para o fabrico de produtos de borracha, plástico e papel </v>
      </c>
      <c r="C1964" t="s">
        <v>2433</v>
      </c>
    </row>
    <row r="1965" spans="1:3" x14ac:dyDescent="0.25">
      <c r="A1965" t="str">
        <f>"8141"</f>
        <v>8141</v>
      </c>
      <c r="B1965" t="str">
        <f>"Operador de máquinas para o fabrico de produtos de borracha"</f>
        <v>Operador de máquinas para o fabrico de produtos de borracha</v>
      </c>
      <c r="C1965" t="s">
        <v>2434</v>
      </c>
    </row>
    <row r="1966" spans="1:3" x14ac:dyDescent="0.25">
      <c r="A1966" t="str">
        <f>"8141.0"</f>
        <v>8141.0</v>
      </c>
      <c r="B1966" t="str">
        <f>"Operador de máquinas para o fabrico de produtos de borracha"</f>
        <v>Operador de máquinas para o fabrico de produtos de borracha</v>
      </c>
      <c r="C1966" t="s">
        <v>2435</v>
      </c>
    </row>
    <row r="1967" spans="1:3" x14ac:dyDescent="0.25">
      <c r="A1967" t="str">
        <f>"8142"</f>
        <v>8142</v>
      </c>
      <c r="B1967" t="str">
        <f>"Operador de máquinas para o fabrico de produtos de matérias plásticas"</f>
        <v>Operador de máquinas para o fabrico de produtos de matérias plásticas</v>
      </c>
      <c r="C1967" t="s">
        <v>2436</v>
      </c>
    </row>
    <row r="1968" spans="1:3" x14ac:dyDescent="0.25">
      <c r="A1968" t="str">
        <f>"8142.0"</f>
        <v>8142.0</v>
      </c>
      <c r="B1968" t="str">
        <f>"Operador de máquinas para o fabrico de produtos de matérias plásticas"</f>
        <v>Operador de máquinas para o fabrico de produtos de matérias plásticas</v>
      </c>
      <c r="C1968" t="s">
        <v>2437</v>
      </c>
    </row>
    <row r="1969" spans="1:3" x14ac:dyDescent="0.25">
      <c r="A1969" t="str">
        <f>"8143"</f>
        <v>8143</v>
      </c>
      <c r="B1969" t="str">
        <f>"Operador de máquinas para o fabrico de produtos de papel"</f>
        <v>Operador de máquinas para o fabrico de produtos de papel</v>
      </c>
      <c r="C1969" t="s">
        <v>2438</v>
      </c>
    </row>
    <row r="1970" spans="1:3" x14ac:dyDescent="0.25">
      <c r="A1970" t="str">
        <f>"8143.0"</f>
        <v>8143.0</v>
      </c>
      <c r="B1970" t="str">
        <f>"Operador de máquinas para o fabrico de produtos de papel"</f>
        <v>Operador de máquinas para o fabrico de produtos de papel</v>
      </c>
      <c r="C1970" t="s">
        <v>2439</v>
      </c>
    </row>
    <row r="1971" spans="1:3" x14ac:dyDescent="0.25">
      <c r="A1971" t="str">
        <f>"815"</f>
        <v>815</v>
      </c>
      <c r="B1971" t="str">
        <f>"Operadores de máquinas para o fabrico de produtos têxteis, de pele com pêlo e couro "</f>
        <v xml:space="preserve">Operadores de máquinas para o fabrico de produtos têxteis, de pele com pêlo e couro </v>
      </c>
      <c r="C1971" t="s">
        <v>2440</v>
      </c>
    </row>
    <row r="1972" spans="1:3" x14ac:dyDescent="0.25">
      <c r="A1972" t="str">
        <f>"8151"</f>
        <v>8151</v>
      </c>
      <c r="B1972" t="str">
        <f>"Operador de máquinas para preparar, fiar e bobinar, fibras têxteis "</f>
        <v xml:space="preserve">Operador de máquinas para preparar, fiar e bobinar, fibras têxteis </v>
      </c>
      <c r="C1972" t="s">
        <v>2441</v>
      </c>
    </row>
    <row r="1973" spans="1:3" x14ac:dyDescent="0.25">
      <c r="A1973" t="str">
        <f>"8151.0"</f>
        <v>8151.0</v>
      </c>
      <c r="B1973" t="str">
        <f>"Operador de máquinas para preparar, fiar e bobinar, fibras têxteis "</f>
        <v xml:space="preserve">Operador de máquinas para preparar, fiar e bobinar, fibras têxteis </v>
      </c>
      <c r="C1973" t="s">
        <v>2442</v>
      </c>
    </row>
    <row r="1974" spans="1:3" x14ac:dyDescent="0.25">
      <c r="A1974" t="str">
        <f>"8152"</f>
        <v>8152</v>
      </c>
      <c r="B1974" t="str">
        <f>"Operador de máquinas de tecer e tricotar "</f>
        <v xml:space="preserve">Operador de máquinas de tecer e tricotar </v>
      </c>
      <c r="C1974" t="s">
        <v>2443</v>
      </c>
    </row>
    <row r="1975" spans="1:3" x14ac:dyDescent="0.25">
      <c r="A1975" t="str">
        <f>"8152.0"</f>
        <v>8152.0</v>
      </c>
      <c r="B1975" t="str">
        <f>"Operador de máquinas de tecer e tricotar "</f>
        <v xml:space="preserve">Operador de máquinas de tecer e tricotar </v>
      </c>
      <c r="C1975" t="s">
        <v>2444</v>
      </c>
    </row>
    <row r="1976" spans="1:3" x14ac:dyDescent="0.25">
      <c r="A1976" t="str">
        <f>"8153"</f>
        <v>8153</v>
      </c>
      <c r="B1976" t="str">
        <f>"Operador de máquinas de costura"</f>
        <v>Operador de máquinas de costura</v>
      </c>
      <c r="C1976" t="s">
        <v>2445</v>
      </c>
    </row>
    <row r="1977" spans="1:3" x14ac:dyDescent="0.25">
      <c r="A1977" t="str">
        <f>"8153.0"</f>
        <v>8153.0</v>
      </c>
      <c r="B1977" t="str">
        <f>"Operador de máquinas de costura"</f>
        <v>Operador de máquinas de costura</v>
      </c>
      <c r="C1977" t="s">
        <v>2446</v>
      </c>
    </row>
    <row r="1978" spans="1:3" x14ac:dyDescent="0.25">
      <c r="A1978" t="str">
        <f>"8154"</f>
        <v>8154</v>
      </c>
      <c r="B1978" t="str">
        <f>"Operador de máquinas de branquear, tingir e limpar, tecidos e outros têxteis"</f>
        <v>Operador de máquinas de branquear, tingir e limpar, tecidos e outros têxteis</v>
      </c>
      <c r="C1978" t="s">
        <v>2447</v>
      </c>
    </row>
    <row r="1979" spans="1:3" x14ac:dyDescent="0.25">
      <c r="A1979" t="str">
        <f>"8154.0"</f>
        <v>8154.0</v>
      </c>
      <c r="B1979" t="str">
        <f>"Operador de máquinas de branquear, tingir e limpar, tecidos e outros têxteis"</f>
        <v>Operador de máquinas de branquear, tingir e limpar, tecidos e outros têxteis</v>
      </c>
      <c r="C1979" t="s">
        <v>2448</v>
      </c>
    </row>
    <row r="1980" spans="1:3" x14ac:dyDescent="0.25">
      <c r="A1980" t="str">
        <f>"8155"</f>
        <v>8155</v>
      </c>
      <c r="B1980" t="str">
        <f>"Operador de máquinas para preparar peles com pêlo e couro"</f>
        <v>Operador de máquinas para preparar peles com pêlo e couro</v>
      </c>
      <c r="C1980" t="s">
        <v>2449</v>
      </c>
    </row>
    <row r="1981" spans="1:3" x14ac:dyDescent="0.25">
      <c r="A1981" t="str">
        <f>"8155.0"</f>
        <v>8155.0</v>
      </c>
      <c r="B1981" t="str">
        <f>"Operador de máquinas para preparar peles com pêlo e couro"</f>
        <v>Operador de máquinas para preparar peles com pêlo e couro</v>
      </c>
      <c r="C1981" t="s">
        <v>2450</v>
      </c>
    </row>
    <row r="1982" spans="1:3" x14ac:dyDescent="0.25">
      <c r="A1982" t="str">
        <f>"8156"</f>
        <v>8156</v>
      </c>
      <c r="B1982" t="str">
        <f>"Operador de máquinas de fabrico de calçado e similares"</f>
        <v>Operador de máquinas de fabrico de calçado e similares</v>
      </c>
      <c r="C1982" t="s">
        <v>2451</v>
      </c>
    </row>
    <row r="1983" spans="1:3" x14ac:dyDescent="0.25">
      <c r="A1983" t="str">
        <f>"8156.0"</f>
        <v>8156.0</v>
      </c>
      <c r="B1983" t="str">
        <f>"Operador de máquinas de fabrico de calçado e similares"</f>
        <v>Operador de máquinas de fabrico de calçado e similares</v>
      </c>
      <c r="C1983" t="s">
        <v>2452</v>
      </c>
    </row>
    <row r="1984" spans="1:3" x14ac:dyDescent="0.25">
      <c r="A1984" t="str">
        <f>"8157"</f>
        <v>8157</v>
      </c>
      <c r="B1984" t="str">
        <f>"Operador de máquinas de lavandaria "</f>
        <v xml:space="preserve">Operador de máquinas de lavandaria </v>
      </c>
      <c r="C1984" t="s">
        <v>2453</v>
      </c>
    </row>
    <row r="1985" spans="1:3" x14ac:dyDescent="0.25">
      <c r="A1985" t="str">
        <f>"8157.0"</f>
        <v>8157.0</v>
      </c>
      <c r="B1985" t="str">
        <f>"Operador de máquinas de lavandaria "</f>
        <v xml:space="preserve">Operador de máquinas de lavandaria </v>
      </c>
      <c r="C1985" t="s">
        <v>2454</v>
      </c>
    </row>
    <row r="1986" spans="1:3" x14ac:dyDescent="0.25">
      <c r="A1986" t="str">
        <f>"8159"</f>
        <v>8159</v>
      </c>
      <c r="B1986" t="str">
        <f>"Outros operadores de máquinas para o fabrico de produtos têxteis, de pele com pêlo e couro"</f>
        <v>Outros operadores de máquinas para o fabrico de produtos têxteis, de pele com pêlo e couro</v>
      </c>
      <c r="C1986" t="s">
        <v>2455</v>
      </c>
    </row>
    <row r="1987" spans="1:3" x14ac:dyDescent="0.25">
      <c r="A1987" t="str">
        <f>"8159.0"</f>
        <v>8159.0</v>
      </c>
      <c r="B1987" t="str">
        <f>"Outros operadores de máquinas para o fabrico de produtos têxteis, de pele com pêlo e couro"</f>
        <v>Outros operadores de máquinas para o fabrico de produtos têxteis, de pele com pêlo e couro</v>
      </c>
      <c r="C1987" t="s">
        <v>2456</v>
      </c>
    </row>
    <row r="1988" spans="1:3" x14ac:dyDescent="0.25">
      <c r="A1988" t="str">
        <f>"816"</f>
        <v>816</v>
      </c>
      <c r="B1988" t="str">
        <f>"Operadores de máquinas do fabrico de produtos alimentares e similares  "</f>
        <v xml:space="preserve">Operadores de máquinas do fabrico de produtos alimentares e similares  </v>
      </c>
      <c r="C1988" t="s">
        <v>2457</v>
      </c>
    </row>
    <row r="1989" spans="1:3" x14ac:dyDescent="0.25">
      <c r="A1989" t="str">
        <f>"8160"</f>
        <v>8160</v>
      </c>
      <c r="B1989" t="str">
        <f>"Operadores de máquinas do fabrico de produtos alimentares e similares  "</f>
        <v xml:space="preserve">Operadores de máquinas do fabrico de produtos alimentares e similares  </v>
      </c>
      <c r="C1989" t="s">
        <v>2458</v>
      </c>
    </row>
    <row r="1990" spans="1:3" x14ac:dyDescent="0.25">
      <c r="A1990" t="str">
        <f>"8160.1"</f>
        <v>8160.1</v>
      </c>
      <c r="B1990" t="str">
        <f>"Operador de máquinas de preparação de carne e peixe"</f>
        <v>Operador de máquinas de preparação de carne e peixe</v>
      </c>
      <c r="C1990" t="s">
        <v>2459</v>
      </c>
    </row>
    <row r="1991" spans="1:3" x14ac:dyDescent="0.25">
      <c r="A1991" t="str">
        <f>"8160.2"</f>
        <v>8160.2</v>
      </c>
      <c r="B1991" t="str">
        <f>"Operador de máquinas de fabrico de produtos lácteos"</f>
        <v>Operador de máquinas de fabrico de produtos lácteos</v>
      </c>
      <c r="C1991" t="s">
        <v>2460</v>
      </c>
    </row>
    <row r="1992" spans="1:3" x14ac:dyDescent="0.25">
      <c r="A1992" t="str">
        <f>"8160.3"</f>
        <v>8160.3</v>
      </c>
      <c r="B1992" t="str">
        <f>"Operador de máquinas de moagem de cereais, de transformação de arroz e de fabricação de rações"</f>
        <v>Operador de máquinas de moagem de cereais, de transformação de arroz e de fabricação de rações</v>
      </c>
      <c r="C1992" t="s">
        <v>2461</v>
      </c>
    </row>
    <row r="1993" spans="1:3" x14ac:dyDescent="0.25">
      <c r="A1993" t="str">
        <f>"8160.4"</f>
        <v>8160.4</v>
      </c>
      <c r="B1993" t="str">
        <f>"Operador de máquinas de produtos de padaria, de pastelaria, de confeitaria e de massas alimentícias "</f>
        <v xml:space="preserve">Operador de máquinas de produtos de padaria, de pastelaria, de confeitaria e de massas alimentícias </v>
      </c>
      <c r="C1993" t="s">
        <v>2462</v>
      </c>
    </row>
    <row r="1994" spans="1:3" x14ac:dyDescent="0.25">
      <c r="A1994" t="str">
        <f>"8160.5"</f>
        <v>8160.5</v>
      </c>
      <c r="B1994" t="str">
        <f>"Operador de máquinas de tratamento de frutos, legumes, fabrico de azeite, óleos alimentares e margarinas "</f>
        <v xml:space="preserve">Operador de máquinas de tratamento de frutos, legumes, fabrico de azeite, óleos alimentares e margarinas </v>
      </c>
      <c r="C1994" t="s">
        <v>2463</v>
      </c>
    </row>
    <row r="1995" spans="1:3" x14ac:dyDescent="0.25">
      <c r="A1995" t="str">
        <f>"8160.6"</f>
        <v>8160.6</v>
      </c>
      <c r="B1995" t="str">
        <f>"Operador de máquinas de produção e refinação de açúcar "</f>
        <v xml:space="preserve">Operador de máquinas de produção e refinação de açúcar </v>
      </c>
      <c r="C1995" t="s">
        <v>2464</v>
      </c>
    </row>
    <row r="1996" spans="1:3" x14ac:dyDescent="0.25">
      <c r="A1996" t="str">
        <f>"8160.7"</f>
        <v>8160.7</v>
      </c>
      <c r="B1996" t="str">
        <f>"Operador de máquinas para preparação de chá, café e cacau"</f>
        <v>Operador de máquinas para preparação de chá, café e cacau</v>
      </c>
      <c r="C1996" t="s">
        <v>2465</v>
      </c>
    </row>
    <row r="1997" spans="1:3" x14ac:dyDescent="0.25">
      <c r="A1997" t="str">
        <f>"8160.8"</f>
        <v>8160.8</v>
      </c>
      <c r="B1997" t="str">
        <f>"Operador de máquinas para preparação de vinhos e outras bebidas"</f>
        <v>Operador de máquinas para preparação de vinhos e outras bebidas</v>
      </c>
      <c r="C1997" t="s">
        <v>2466</v>
      </c>
    </row>
    <row r="1998" spans="1:3" x14ac:dyDescent="0.25">
      <c r="A1998" t="str">
        <f>"8160.9"</f>
        <v>8160.9</v>
      </c>
      <c r="B1998" t="str">
        <f>"Operador de máquinas para o fabrico do tabaco"</f>
        <v>Operador de máquinas para o fabrico do tabaco</v>
      </c>
      <c r="C1998" t="s">
        <v>2467</v>
      </c>
    </row>
    <row r="1999" spans="1:3" x14ac:dyDescent="0.25">
      <c r="A1999" t="str">
        <f>"817"</f>
        <v>817</v>
      </c>
      <c r="B1999" t="str">
        <f>"Operadores de instalações para o fabrico de papel, para o trabalho da madeira e cortiça"</f>
        <v>Operadores de instalações para o fabrico de papel, para o trabalho da madeira e cortiça</v>
      </c>
      <c r="C1999" t="s">
        <v>2468</v>
      </c>
    </row>
    <row r="2000" spans="1:3" x14ac:dyDescent="0.25">
      <c r="A2000" t="str">
        <f>"8171"</f>
        <v>8171</v>
      </c>
      <c r="B2000" t="str">
        <f>"Operador de instalações para o fabrico de pasta de papel e de papel "</f>
        <v xml:space="preserve">Operador de instalações para o fabrico de pasta de papel e de papel </v>
      </c>
      <c r="C2000" t="s">
        <v>2469</v>
      </c>
    </row>
    <row r="2001" spans="1:3" x14ac:dyDescent="0.25">
      <c r="A2001" t="str">
        <f>"8171.0"</f>
        <v>8171.0</v>
      </c>
      <c r="B2001" t="str">
        <f>"Operador de instalações para o fabrico de pasta de papel e de papel "</f>
        <v xml:space="preserve">Operador de instalações para o fabrico de pasta de papel e de papel </v>
      </c>
      <c r="C2001" t="s">
        <v>2470</v>
      </c>
    </row>
    <row r="2002" spans="1:3" x14ac:dyDescent="0.25">
      <c r="A2002" t="str">
        <f>"8172"</f>
        <v>8172</v>
      </c>
      <c r="B2002" t="str">
        <f>"Operador de instalações para o trabalho da madeira e cortiça"</f>
        <v>Operador de instalações para o trabalho da madeira e cortiça</v>
      </c>
      <c r="C2002" t="s">
        <v>2471</v>
      </c>
    </row>
    <row r="2003" spans="1:3" x14ac:dyDescent="0.25">
      <c r="A2003" t="str">
        <f>"8172.0"</f>
        <v>8172.0</v>
      </c>
      <c r="B2003" t="str">
        <f>"Operador de instalações para o trabalho da madeira e cortiça"</f>
        <v>Operador de instalações para o trabalho da madeira e cortiça</v>
      </c>
      <c r="C2003" t="s">
        <v>2472</v>
      </c>
    </row>
    <row r="2004" spans="1:3" x14ac:dyDescent="0.25">
      <c r="A2004" t="str">
        <f>"818"</f>
        <v>818</v>
      </c>
      <c r="B2004" t="str">
        <f>"Outros operadores de instalações fixas e máquinas "</f>
        <v xml:space="preserve">Outros operadores de instalações fixas e máquinas </v>
      </c>
      <c r="C2004" t="s">
        <v>2473</v>
      </c>
    </row>
    <row r="2005" spans="1:3" x14ac:dyDescent="0.25">
      <c r="A2005" t="str">
        <f>"8181"</f>
        <v>8181</v>
      </c>
      <c r="B2005" t="str">
        <f>"Operadores de instalações do fabrico de vidro e produtos cerâmicos "</f>
        <v xml:space="preserve">Operadores de instalações do fabrico de vidro e produtos cerâmicos </v>
      </c>
      <c r="C2005" t="s">
        <v>2474</v>
      </c>
    </row>
    <row r="2006" spans="1:3" x14ac:dyDescent="0.25">
      <c r="A2006" t="str">
        <f>"8181.1"</f>
        <v>8181.1</v>
      </c>
      <c r="B2006" t="str">
        <f>"Operador de instalações para o fabrico de vidro"</f>
        <v>Operador de instalações para o fabrico de vidro</v>
      </c>
      <c r="C2006" t="s">
        <v>2475</v>
      </c>
    </row>
    <row r="2007" spans="1:3" x14ac:dyDescent="0.25">
      <c r="A2007" t="str">
        <f>"8181.2"</f>
        <v>8181.2</v>
      </c>
      <c r="B2007" t="str">
        <f>"Operador de instalações para o fabrico de produtos cerâmicos "</f>
        <v xml:space="preserve">Operador de instalações para o fabrico de produtos cerâmicos </v>
      </c>
      <c r="C2007" t="s">
        <v>2476</v>
      </c>
    </row>
    <row r="2008" spans="1:3" x14ac:dyDescent="0.25">
      <c r="A2008" t="str">
        <f>"8182"</f>
        <v>8182</v>
      </c>
      <c r="B2008" t="str">
        <f>"Operador de máquinas a vapor e caldeiras"</f>
        <v>Operador de máquinas a vapor e caldeiras</v>
      </c>
      <c r="C2008" t="s">
        <v>2477</v>
      </c>
    </row>
    <row r="2009" spans="1:3" x14ac:dyDescent="0.25">
      <c r="A2009" t="str">
        <f>"8182.0"</f>
        <v>8182.0</v>
      </c>
      <c r="B2009" t="str">
        <f>"Operador de máquinas a vapor e caldeiras"</f>
        <v>Operador de máquinas a vapor e caldeiras</v>
      </c>
      <c r="C2009" t="s">
        <v>2478</v>
      </c>
    </row>
    <row r="2010" spans="1:3" x14ac:dyDescent="0.25">
      <c r="A2010" t="str">
        <f>"8183"</f>
        <v>8183</v>
      </c>
      <c r="B2010" t="str">
        <f>"Operador de máquinas de embalar, encher e rotular"</f>
        <v>Operador de máquinas de embalar, encher e rotular</v>
      </c>
      <c r="C2010" t="s">
        <v>2479</v>
      </c>
    </row>
    <row r="2011" spans="1:3" x14ac:dyDescent="0.25">
      <c r="A2011" t="str">
        <f>"8183.0"</f>
        <v>8183.0</v>
      </c>
      <c r="B2011" t="str">
        <f>"Operador de máquinas de embalar, encher e rotular"</f>
        <v>Operador de máquinas de embalar, encher e rotular</v>
      </c>
      <c r="C2011" t="s">
        <v>2480</v>
      </c>
    </row>
    <row r="2012" spans="1:3" x14ac:dyDescent="0.25">
      <c r="A2012" t="str">
        <f>"8189"</f>
        <v>8189</v>
      </c>
      <c r="B2012" t="str">
        <f>"Outros operadores de instalações fixas e de máquinas, n.e."</f>
        <v>Outros operadores de instalações fixas e de máquinas, n.e.</v>
      </c>
      <c r="C2012" t="s">
        <v>2481</v>
      </c>
    </row>
    <row r="2013" spans="1:3" x14ac:dyDescent="0.25">
      <c r="A2013" t="str">
        <f>"8189.1"</f>
        <v>8189.1</v>
      </c>
      <c r="B2013" t="str">
        <f>"Operador de máquinas para corte, soldadura, isolamento, fabrico e enrolamento de cablagens"</f>
        <v>Operador de máquinas para corte, soldadura, isolamento, fabrico e enrolamento de cablagens</v>
      </c>
      <c r="C2013" t="s">
        <v>2482</v>
      </c>
    </row>
    <row r="2014" spans="1:3" x14ac:dyDescent="0.25">
      <c r="A2014" t="str">
        <f>"8189.2"</f>
        <v>8189.2</v>
      </c>
      <c r="B2014" t="str">
        <f>"Operador de máquinas para fabrico de molas para estofos, colchões, veículos automóveis ou outros fins"</f>
        <v>Operador de máquinas para fabrico de molas para estofos, colchões, veículos automóveis ou outros fins</v>
      </c>
      <c r="C2014" t="s">
        <v>2483</v>
      </c>
    </row>
    <row r="2015" spans="1:3" x14ac:dyDescent="0.25">
      <c r="A2015" t="str">
        <f>"8189.3"</f>
        <v>8189.3</v>
      </c>
      <c r="B2015" t="str">
        <f>"Operador de máquinas para fabrico de produtos de arame"</f>
        <v>Operador de máquinas para fabrico de produtos de arame</v>
      </c>
      <c r="C2015" t="s">
        <v>2484</v>
      </c>
    </row>
    <row r="2016" spans="1:3" x14ac:dyDescent="0.25">
      <c r="A2016" t="str">
        <f>"8189.4"</f>
        <v>8189.4</v>
      </c>
      <c r="B2016" t="str">
        <f>"Outros operadores de instalações fixas e de máquinas, diversas, n.e"</f>
        <v>Outros operadores de instalações fixas e de máquinas, diversas, n.e</v>
      </c>
      <c r="C2016" t="s">
        <v>2485</v>
      </c>
    </row>
    <row r="2017" spans="1:3" x14ac:dyDescent="0.25">
      <c r="A2017" t="str">
        <f>"82"</f>
        <v>82</v>
      </c>
      <c r="B2017" t="str">
        <f>"Trabalhadores da montagem"</f>
        <v>Trabalhadores da montagem</v>
      </c>
      <c r="C2017" t="s">
        <v>2486</v>
      </c>
    </row>
    <row r="2018" spans="1:3" x14ac:dyDescent="0.25">
      <c r="A2018" t="str">
        <f>"821"</f>
        <v>821</v>
      </c>
      <c r="B2018" t="str">
        <f>"Trabalhadores da montagem"</f>
        <v>Trabalhadores da montagem</v>
      </c>
      <c r="C2018" t="s">
        <v>2487</v>
      </c>
    </row>
    <row r="2019" spans="1:3" x14ac:dyDescent="0.25">
      <c r="A2019" t="str">
        <f>"8211"</f>
        <v>8211</v>
      </c>
      <c r="B2019" t="str">
        <f>"Montador de maquinaria mecânica"</f>
        <v>Montador de maquinaria mecânica</v>
      </c>
      <c r="C2019" t="s">
        <v>2488</v>
      </c>
    </row>
    <row r="2020" spans="1:3" x14ac:dyDescent="0.25">
      <c r="A2020" t="str">
        <f>"8211.0"</f>
        <v>8211.0</v>
      </c>
      <c r="B2020" t="str">
        <f>"Montador de maquinaria mecânica"</f>
        <v>Montador de maquinaria mecânica</v>
      </c>
      <c r="C2020" t="s">
        <v>2489</v>
      </c>
    </row>
    <row r="2021" spans="1:3" x14ac:dyDescent="0.25">
      <c r="A2021" t="str">
        <f>"8212"</f>
        <v>8212</v>
      </c>
      <c r="B2021" t="str">
        <f>"Montador de equipamentos eléctricos e electrónicos"</f>
        <v>Montador de equipamentos eléctricos e electrónicos</v>
      </c>
      <c r="C2021" t="s">
        <v>2490</v>
      </c>
    </row>
    <row r="2022" spans="1:3" x14ac:dyDescent="0.25">
      <c r="A2022" t="str">
        <f>"8212.0"</f>
        <v>8212.0</v>
      </c>
      <c r="B2022" t="str">
        <f>"Montador de equipamentos eléctricos e electrónicos"</f>
        <v>Montador de equipamentos eléctricos e electrónicos</v>
      </c>
      <c r="C2022" t="s">
        <v>2491</v>
      </c>
    </row>
    <row r="2023" spans="1:3" x14ac:dyDescent="0.25">
      <c r="A2023" t="str">
        <f>"8219"</f>
        <v>8219</v>
      </c>
      <c r="B2023" t="str">
        <f>"Outros trabalhadores da montagem "</f>
        <v xml:space="preserve">Outros trabalhadores da montagem </v>
      </c>
      <c r="C2023" t="s">
        <v>2492</v>
      </c>
    </row>
    <row r="2024" spans="1:3" x14ac:dyDescent="0.25">
      <c r="A2024" t="str">
        <f>"8219.0"</f>
        <v>8219.0</v>
      </c>
      <c r="B2024" t="str">
        <f>"Outros trabalhadores da montagem "</f>
        <v xml:space="preserve">Outros trabalhadores da montagem </v>
      </c>
      <c r="C2024" t="s">
        <v>2493</v>
      </c>
    </row>
    <row r="2025" spans="1:3" x14ac:dyDescent="0.25">
      <c r="A2025" t="str">
        <f>"83"</f>
        <v>83</v>
      </c>
      <c r="B2025" t="str">
        <f>"Condutores de veículos e operadores de equipamentos móveis "</f>
        <v xml:space="preserve">Condutores de veículos e operadores de equipamentos móveis </v>
      </c>
      <c r="C2025" t="s">
        <v>2494</v>
      </c>
    </row>
    <row r="2026" spans="1:3" x14ac:dyDescent="0.25">
      <c r="A2026" t="str">
        <f>"831"</f>
        <v>831</v>
      </c>
      <c r="B2026" t="str">
        <f>"Maquinistas de locomotivas e similares"</f>
        <v>Maquinistas de locomotivas e similares</v>
      </c>
      <c r="C2026" t="s">
        <v>2495</v>
      </c>
    </row>
    <row r="2027" spans="1:3" x14ac:dyDescent="0.25">
      <c r="A2027" t="str">
        <f>"8311"</f>
        <v>8311</v>
      </c>
      <c r="B2027" t="str">
        <f>"Maquinista de locomotivas"</f>
        <v>Maquinista de locomotivas</v>
      </c>
      <c r="C2027" t="s">
        <v>2496</v>
      </c>
    </row>
    <row r="2028" spans="1:3" x14ac:dyDescent="0.25">
      <c r="A2028" t="str">
        <f>"8311.0"</f>
        <v>8311.0</v>
      </c>
      <c r="B2028" t="str">
        <f>"Maquinista de locomotivas"</f>
        <v>Maquinista de locomotivas</v>
      </c>
      <c r="C2028" t="s">
        <v>2497</v>
      </c>
    </row>
    <row r="2029" spans="1:3" x14ac:dyDescent="0.25">
      <c r="A2029" t="str">
        <f>"8312"</f>
        <v>8312</v>
      </c>
      <c r="B2029" t="str">
        <f>"Guarda-freios, agulheiro e agente de manobras de caminhos-de-ferro"</f>
        <v>Guarda-freios, agulheiro e agente de manobras de caminhos-de-ferro</v>
      </c>
      <c r="C2029" t="s">
        <v>2498</v>
      </c>
    </row>
    <row r="2030" spans="1:3" x14ac:dyDescent="0.25">
      <c r="A2030" t="str">
        <f>"8312.0"</f>
        <v>8312.0</v>
      </c>
      <c r="B2030" t="str">
        <f>"Guarda-freios, agulheiro e agente de manobras de caminhos-de-ferro"</f>
        <v>Guarda-freios, agulheiro e agente de manobras de caminhos-de-ferro</v>
      </c>
      <c r="C2030" t="s">
        <v>2499</v>
      </c>
    </row>
    <row r="2031" spans="1:3" x14ac:dyDescent="0.25">
      <c r="A2031" t="str">
        <f>"832"</f>
        <v>832</v>
      </c>
      <c r="B2031" t="str">
        <f>"Motoristas de automóveis ligeiros, de carrinhas e condutores de motociclos"</f>
        <v>Motoristas de automóveis ligeiros, de carrinhas e condutores de motociclos</v>
      </c>
      <c r="C2031" t="s">
        <v>2500</v>
      </c>
    </row>
    <row r="2032" spans="1:3" x14ac:dyDescent="0.25">
      <c r="A2032" t="str">
        <f>"8321"</f>
        <v>8321</v>
      </c>
      <c r="B2032" t="str">
        <f>"Condutor de motociclos"</f>
        <v>Condutor de motociclos</v>
      </c>
      <c r="C2032" t="s">
        <v>2501</v>
      </c>
    </row>
    <row r="2033" spans="1:3" x14ac:dyDescent="0.25">
      <c r="A2033" t="str">
        <f>"8321.0"</f>
        <v>8321.0</v>
      </c>
      <c r="B2033" t="str">
        <f>"Condutor de motociclos"</f>
        <v>Condutor de motociclos</v>
      </c>
      <c r="C2033" t="s">
        <v>2502</v>
      </c>
    </row>
    <row r="2034" spans="1:3" x14ac:dyDescent="0.25">
      <c r="A2034" t="str">
        <f>"8322"</f>
        <v>8322</v>
      </c>
      <c r="B2034" t="str">
        <f>"Motoristas de automóveis ligeiros, táxis e carrinhas "</f>
        <v xml:space="preserve">Motoristas de automóveis ligeiros, táxis e carrinhas </v>
      </c>
      <c r="C2034" t="s">
        <v>2503</v>
      </c>
    </row>
    <row r="2035" spans="1:3" x14ac:dyDescent="0.25">
      <c r="A2035" t="str">
        <f>"8322.1"</f>
        <v>8322.1</v>
      </c>
      <c r="B2035" t="str">
        <f>"Motorista de táxis"</f>
        <v>Motorista de táxis</v>
      </c>
      <c r="C2035" t="s">
        <v>2504</v>
      </c>
    </row>
    <row r="2036" spans="1:3" x14ac:dyDescent="0.25">
      <c r="A2036" t="str">
        <f>"8322.2"</f>
        <v>8322.2</v>
      </c>
      <c r="B2036" t="str">
        <f>"Motorista de automóveis ligeiros e carrinhas"</f>
        <v>Motorista de automóveis ligeiros e carrinhas</v>
      </c>
      <c r="C2036" t="s">
        <v>2505</v>
      </c>
    </row>
    <row r="2037" spans="1:3" x14ac:dyDescent="0.25">
      <c r="A2037" t="str">
        <f>"833"</f>
        <v>833</v>
      </c>
      <c r="B2037" t="str">
        <f>"Motoristas de veículos pesados e de autocarros "</f>
        <v xml:space="preserve">Motoristas de veículos pesados e de autocarros </v>
      </c>
      <c r="C2037" t="s">
        <v>2506</v>
      </c>
    </row>
    <row r="2038" spans="1:3" x14ac:dyDescent="0.25">
      <c r="A2038" t="str">
        <f>"8331"</f>
        <v>8331</v>
      </c>
      <c r="B2038" t="str">
        <f>"Motoristas de autocarros e guarda-freios de eléctricos "</f>
        <v xml:space="preserve">Motoristas de autocarros e guarda-freios de eléctricos </v>
      </c>
      <c r="C2038" t="s">
        <v>2507</v>
      </c>
    </row>
    <row r="2039" spans="1:3" x14ac:dyDescent="0.25">
      <c r="A2039" t="str">
        <f>"8331.1"</f>
        <v>8331.1</v>
      </c>
      <c r="B2039" t="str">
        <f>"Motorista de autocarros"</f>
        <v>Motorista de autocarros</v>
      </c>
      <c r="C2039" t="s">
        <v>2508</v>
      </c>
    </row>
    <row r="2040" spans="1:3" x14ac:dyDescent="0.25">
      <c r="A2040" t="str">
        <f>"8331.2"</f>
        <v>8331.2</v>
      </c>
      <c r="B2040" t="str">
        <f>"Guarda-freio de eléctrico"</f>
        <v>Guarda-freio de eléctrico</v>
      </c>
      <c r="C2040" t="s">
        <v>2509</v>
      </c>
    </row>
    <row r="2041" spans="1:3" x14ac:dyDescent="0.25">
      <c r="A2041" t="str">
        <f>"8332"</f>
        <v>8332</v>
      </c>
      <c r="B2041" t="str">
        <f>"Motorista de veículos pesados de mercadorias"</f>
        <v>Motorista de veículos pesados de mercadorias</v>
      </c>
      <c r="C2041" t="s">
        <v>2510</v>
      </c>
    </row>
    <row r="2042" spans="1:3" x14ac:dyDescent="0.25">
      <c r="A2042" t="str">
        <f>"8332.0"</f>
        <v>8332.0</v>
      </c>
      <c r="B2042" t="str">
        <f>"Motorista de veículos pesados de mercadorias"</f>
        <v>Motorista de veículos pesados de mercadorias</v>
      </c>
      <c r="C2042" t="s">
        <v>2511</v>
      </c>
    </row>
    <row r="2043" spans="1:3" x14ac:dyDescent="0.25">
      <c r="A2043" t="str">
        <f>"834"</f>
        <v>834</v>
      </c>
      <c r="B2043" t="str">
        <f>"Operadores de equipamentos móveis "</f>
        <v xml:space="preserve">Operadores de equipamentos móveis </v>
      </c>
      <c r="C2043" t="s">
        <v>2512</v>
      </c>
    </row>
    <row r="2044" spans="1:3" x14ac:dyDescent="0.25">
      <c r="A2044" t="str">
        <f>"8341"</f>
        <v>8341</v>
      </c>
      <c r="B2044" t="str">
        <f>"Operador de máquinas agrícolas e florestais, móveis"</f>
        <v>Operador de máquinas agrícolas e florestais, móveis</v>
      </c>
      <c r="C2044" t="s">
        <v>2513</v>
      </c>
    </row>
    <row r="2045" spans="1:3" x14ac:dyDescent="0.25">
      <c r="A2045" t="str">
        <f>"8341.0"</f>
        <v>8341.0</v>
      </c>
      <c r="B2045" t="str">
        <f>"Operador de máquinas agrícolas e florestais, móveis"</f>
        <v>Operador de máquinas agrícolas e florestais, móveis</v>
      </c>
      <c r="C2045" t="s">
        <v>2514</v>
      </c>
    </row>
    <row r="2046" spans="1:3" x14ac:dyDescent="0.25">
      <c r="A2046" t="str">
        <f>"8342"</f>
        <v>8342</v>
      </c>
      <c r="B2046" t="str">
        <f>"Operador de máquinas de escavação, terraplenagem e similares"</f>
        <v>Operador de máquinas de escavação, terraplenagem e similares</v>
      </c>
      <c r="C2046" t="s">
        <v>2515</v>
      </c>
    </row>
    <row r="2047" spans="1:3" x14ac:dyDescent="0.25">
      <c r="A2047" t="str">
        <f>"8342.0"</f>
        <v>8342.0</v>
      </c>
      <c r="B2047" t="str">
        <f>"Operador de máquinas de escavação, terraplenagem e similares"</f>
        <v>Operador de máquinas de escavação, terraplenagem e similares</v>
      </c>
      <c r="C2047" t="s">
        <v>2516</v>
      </c>
    </row>
    <row r="2048" spans="1:3" x14ac:dyDescent="0.25">
      <c r="A2048" t="str">
        <f>"8343"</f>
        <v>8343</v>
      </c>
      <c r="B2048" t="str">
        <f>"Operador de gruas, guindastes e similares"</f>
        <v>Operador de gruas, guindastes e similares</v>
      </c>
      <c r="C2048" t="s">
        <v>2517</v>
      </c>
    </row>
    <row r="2049" spans="1:3" x14ac:dyDescent="0.25">
      <c r="A2049" t="str">
        <f>"8343.0"</f>
        <v>8343.0</v>
      </c>
      <c r="B2049" t="str">
        <f>"Operador de gruas, guindastes e similares"</f>
        <v>Operador de gruas, guindastes e similares</v>
      </c>
      <c r="C2049" t="s">
        <v>2518</v>
      </c>
    </row>
    <row r="2050" spans="1:3" x14ac:dyDescent="0.25">
      <c r="A2050" t="str">
        <f>"8344"</f>
        <v>8344</v>
      </c>
      <c r="B2050" t="str">
        <f>"Operador de empilhadores "</f>
        <v xml:space="preserve">Operador de empilhadores </v>
      </c>
      <c r="C2050" t="s">
        <v>2519</v>
      </c>
    </row>
    <row r="2051" spans="1:3" x14ac:dyDescent="0.25">
      <c r="A2051" t="str">
        <f>"8344.0"</f>
        <v>8344.0</v>
      </c>
      <c r="B2051" t="str">
        <f>"Operador de empilhadores "</f>
        <v xml:space="preserve">Operador de empilhadores </v>
      </c>
      <c r="C2051" t="s">
        <v>2520</v>
      </c>
    </row>
    <row r="2052" spans="1:3" x14ac:dyDescent="0.25">
      <c r="A2052" t="str">
        <f>"835"</f>
        <v>835</v>
      </c>
      <c r="B2052" t="str">
        <f>"Tripulação de convés de navios e similares "</f>
        <v xml:space="preserve">Tripulação de convés de navios e similares </v>
      </c>
      <c r="C2052" t="s">
        <v>2521</v>
      </c>
    </row>
    <row r="2053" spans="1:3" x14ac:dyDescent="0.25">
      <c r="A2053" t="str">
        <f>"8350"</f>
        <v>8350</v>
      </c>
      <c r="B2053" t="str">
        <f>"Tripulação de convés de navios e similares "</f>
        <v xml:space="preserve">Tripulação de convés de navios e similares </v>
      </c>
      <c r="C2053" t="s">
        <v>2522</v>
      </c>
    </row>
    <row r="2054" spans="1:3" x14ac:dyDescent="0.25">
      <c r="A2054" t="str">
        <f>"8350.0"</f>
        <v>8350.0</v>
      </c>
      <c r="B2054" t="str">
        <f>"Tripulação de convés de navios e similares "</f>
        <v xml:space="preserve">Tripulação de convés de navios e similares </v>
      </c>
      <c r="C2054" t="s">
        <v>2523</v>
      </c>
    </row>
    <row r="2055" spans="1:3" x14ac:dyDescent="0.25">
      <c r="A2055" t="str">
        <f>"9"</f>
        <v>9</v>
      </c>
      <c r="B2055" t="str">
        <f>"Trabalhadores não qualificados "</f>
        <v xml:space="preserve">Trabalhadores não qualificados </v>
      </c>
      <c r="C2055" t="s">
        <v>2524</v>
      </c>
    </row>
    <row r="2056" spans="1:3" x14ac:dyDescent="0.25">
      <c r="A2056" t="str">
        <f>"91"</f>
        <v>91</v>
      </c>
      <c r="B2056" t="str">
        <f>"Trabalhadores de limpeza"</f>
        <v>Trabalhadores de limpeza</v>
      </c>
      <c r="C2056" t="s">
        <v>2525</v>
      </c>
    </row>
    <row r="2057" spans="1:3" x14ac:dyDescent="0.25">
      <c r="A2057" t="str">
        <f>"911"</f>
        <v>911</v>
      </c>
      <c r="B2057" t="str">
        <f>"Trabalhadores de limpeza em casas particulares, hotéis e escritórios "</f>
        <v xml:space="preserve">Trabalhadores de limpeza em casas particulares, hotéis e escritórios </v>
      </c>
      <c r="C2057" t="s">
        <v>2526</v>
      </c>
    </row>
    <row r="2058" spans="1:3" x14ac:dyDescent="0.25">
      <c r="A2058" t="str">
        <f>"9111"</f>
        <v>9111</v>
      </c>
      <c r="B2058" t="str">
        <f>"Trabalhador de limpeza em casas particulares"</f>
        <v>Trabalhador de limpeza em casas particulares</v>
      </c>
      <c r="C2058" t="s">
        <v>2527</v>
      </c>
    </row>
    <row r="2059" spans="1:3" x14ac:dyDescent="0.25">
      <c r="A2059" t="str">
        <f>"9111.0"</f>
        <v>9111.0</v>
      </c>
      <c r="B2059" t="str">
        <f>"Trabalhador de limpeza em casas particulares"</f>
        <v>Trabalhador de limpeza em casas particulares</v>
      </c>
      <c r="C2059" t="s">
        <v>2528</v>
      </c>
    </row>
    <row r="2060" spans="1:3" x14ac:dyDescent="0.25">
      <c r="A2060" t="str">
        <f>"9112"</f>
        <v>9112</v>
      </c>
      <c r="B2060" t="str">
        <f>"Trabalhador de limpeza em escritórios, hotéis e outros estabelecimentos "</f>
        <v xml:space="preserve">Trabalhador de limpeza em escritórios, hotéis e outros estabelecimentos </v>
      </c>
      <c r="C2060" t="s">
        <v>2529</v>
      </c>
    </row>
    <row r="2061" spans="1:3" x14ac:dyDescent="0.25">
      <c r="A2061" t="str">
        <f>"9112.0"</f>
        <v>9112.0</v>
      </c>
      <c r="B2061" t="str">
        <f>"Trabalhador de limpeza em escritórios, hotéis e outros estabelecimentos "</f>
        <v xml:space="preserve">Trabalhador de limpeza em escritórios, hotéis e outros estabelecimentos </v>
      </c>
      <c r="C2061" t="s">
        <v>2530</v>
      </c>
    </row>
    <row r="2062" spans="1:3" x14ac:dyDescent="0.25">
      <c r="A2062" t="str">
        <f>"912"</f>
        <v>912</v>
      </c>
      <c r="B2062" t="str">
        <f>"Trabalhadores de limpeza de veículos, janelas, roupa e de outra limpeza manual "</f>
        <v xml:space="preserve">Trabalhadores de limpeza de veículos, janelas, roupa e de outra limpeza manual </v>
      </c>
      <c r="C2062" t="s">
        <v>2531</v>
      </c>
    </row>
    <row r="2063" spans="1:3" x14ac:dyDescent="0.25">
      <c r="A2063" t="str">
        <f>"9121"</f>
        <v>9121</v>
      </c>
      <c r="B2063" t="str">
        <f>"Lavadeiro e engomador de roupa "</f>
        <v xml:space="preserve">Lavadeiro e engomador de roupa </v>
      </c>
      <c r="C2063" t="s">
        <v>2532</v>
      </c>
    </row>
    <row r="2064" spans="1:3" x14ac:dyDescent="0.25">
      <c r="A2064" t="str">
        <f>"9121.0"</f>
        <v>9121.0</v>
      </c>
      <c r="B2064" t="str">
        <f>"Lavadeiro e engomador de roupa "</f>
        <v xml:space="preserve">Lavadeiro e engomador de roupa </v>
      </c>
      <c r="C2064" t="s">
        <v>2533</v>
      </c>
    </row>
    <row r="2065" spans="1:3" x14ac:dyDescent="0.25">
      <c r="A2065" t="str">
        <f>"9122"</f>
        <v>9122</v>
      </c>
      <c r="B2065" t="str">
        <f>"Lavador de veículos "</f>
        <v xml:space="preserve">Lavador de veículos </v>
      </c>
      <c r="C2065" t="s">
        <v>2534</v>
      </c>
    </row>
    <row r="2066" spans="1:3" x14ac:dyDescent="0.25">
      <c r="A2066" t="str">
        <f>"9122.0"</f>
        <v>9122.0</v>
      </c>
      <c r="B2066" t="str">
        <f>"Lavador de veículos "</f>
        <v xml:space="preserve">Lavador de veículos </v>
      </c>
      <c r="C2066" t="s">
        <v>2535</v>
      </c>
    </row>
    <row r="2067" spans="1:3" x14ac:dyDescent="0.25">
      <c r="A2067" t="str">
        <f>"9123"</f>
        <v>9123</v>
      </c>
      <c r="B2067" t="str">
        <f>"Lavador de janelas "</f>
        <v xml:space="preserve">Lavador de janelas </v>
      </c>
      <c r="C2067" t="s">
        <v>2536</v>
      </c>
    </row>
    <row r="2068" spans="1:3" x14ac:dyDescent="0.25">
      <c r="A2068" t="str">
        <f>"9123.0"</f>
        <v>9123.0</v>
      </c>
      <c r="B2068" t="str">
        <f>"Lavador de janelas "</f>
        <v xml:space="preserve">Lavador de janelas </v>
      </c>
      <c r="C2068" t="s">
        <v>2537</v>
      </c>
    </row>
    <row r="2069" spans="1:3" x14ac:dyDescent="0.25">
      <c r="A2069" t="str">
        <f>"9129"</f>
        <v>9129</v>
      </c>
      <c r="B2069" t="str">
        <f>"Outro trabalhador de limpeza manual "</f>
        <v xml:space="preserve">Outro trabalhador de limpeza manual </v>
      </c>
      <c r="C2069" t="s">
        <v>2538</v>
      </c>
    </row>
    <row r="2070" spans="1:3" x14ac:dyDescent="0.25">
      <c r="A2070" t="str">
        <f>"9129.0"</f>
        <v>9129.0</v>
      </c>
      <c r="B2070" t="str">
        <f>"Outro trabalhador de limpeza manual "</f>
        <v xml:space="preserve">Outro trabalhador de limpeza manual </v>
      </c>
      <c r="C2070" t="s">
        <v>2539</v>
      </c>
    </row>
    <row r="2071" spans="1:3" x14ac:dyDescent="0.25">
      <c r="A2071" t="str">
        <f>"92"</f>
        <v>92</v>
      </c>
      <c r="B2071" t="str">
        <f>"Trabalhadores não qualificados da agricultura, produção animal, pesca e floresta "</f>
        <v xml:space="preserve">Trabalhadores não qualificados da agricultura, produção animal, pesca e floresta </v>
      </c>
      <c r="C2071" t="s">
        <v>2540</v>
      </c>
    </row>
    <row r="2072" spans="1:3" x14ac:dyDescent="0.25">
      <c r="A2072" t="str">
        <f>"921"</f>
        <v>921</v>
      </c>
      <c r="B2072" t="str">
        <f>"Trabalhadores não qualificados da agricultura, produção animal, pesca e floresta "</f>
        <v xml:space="preserve">Trabalhadores não qualificados da agricultura, produção animal, pesca e floresta </v>
      </c>
      <c r="C2072" t="s">
        <v>2541</v>
      </c>
    </row>
    <row r="2073" spans="1:3" x14ac:dyDescent="0.25">
      <c r="A2073" t="str">
        <f>"9211"</f>
        <v>9211</v>
      </c>
      <c r="B2073" t="str">
        <f>"Trabalhador não qualificado da agricultura (exclui horticultura e floricultura)"</f>
        <v>Trabalhador não qualificado da agricultura (exclui horticultura e floricultura)</v>
      </c>
      <c r="C2073" t="s">
        <v>2542</v>
      </c>
    </row>
    <row r="2074" spans="1:3" x14ac:dyDescent="0.25">
      <c r="A2074" t="str">
        <f>"9211.0"</f>
        <v>9211.0</v>
      </c>
      <c r="B2074" t="str">
        <f>"Trabalhador não qualificado da agricultura (exclui horticultura e floricultura)"</f>
        <v>Trabalhador não qualificado da agricultura (exclui horticultura e floricultura)</v>
      </c>
      <c r="C2074" t="s">
        <v>2543</v>
      </c>
    </row>
    <row r="2075" spans="1:3" x14ac:dyDescent="0.25">
      <c r="A2075" t="str">
        <f>"9212"</f>
        <v>9212</v>
      </c>
      <c r="B2075" t="str">
        <f>"Trabalhador não qualificado da produção animal"</f>
        <v>Trabalhador não qualificado da produção animal</v>
      </c>
      <c r="C2075" t="s">
        <v>2544</v>
      </c>
    </row>
    <row r="2076" spans="1:3" x14ac:dyDescent="0.25">
      <c r="A2076" t="str">
        <f>"9212.0"</f>
        <v>9212.0</v>
      </c>
      <c r="B2076" t="str">
        <f>"Trabalhador não qualificado da produção animal"</f>
        <v>Trabalhador não qualificado da produção animal</v>
      </c>
      <c r="C2076" t="s">
        <v>2545</v>
      </c>
    </row>
    <row r="2077" spans="1:3" x14ac:dyDescent="0.25">
      <c r="A2077" t="str">
        <f>"9213"</f>
        <v>9213</v>
      </c>
      <c r="B2077" t="str">
        <f>"Trabalhador não qualificado da agricultura e produção animal combinadas "</f>
        <v xml:space="preserve">Trabalhador não qualificado da agricultura e produção animal combinadas </v>
      </c>
      <c r="C2077" t="s">
        <v>2546</v>
      </c>
    </row>
    <row r="2078" spans="1:3" x14ac:dyDescent="0.25">
      <c r="A2078" t="str">
        <f>"9213.0"</f>
        <v>9213.0</v>
      </c>
      <c r="B2078" t="str">
        <f>"Trabalhador não qualificado da agricultura e produção animal combinadas "</f>
        <v xml:space="preserve">Trabalhador não qualificado da agricultura e produção animal combinadas </v>
      </c>
      <c r="C2078" t="s">
        <v>2547</v>
      </c>
    </row>
    <row r="2079" spans="1:3" x14ac:dyDescent="0.25">
      <c r="A2079" t="str">
        <f>"9214"</f>
        <v>9214</v>
      </c>
      <c r="B2079" t="str">
        <f>"Trabalhador não qualificado da floricultura e horticultura"</f>
        <v>Trabalhador não qualificado da floricultura e horticultura</v>
      </c>
      <c r="C2079" t="s">
        <v>2548</v>
      </c>
    </row>
    <row r="2080" spans="1:3" x14ac:dyDescent="0.25">
      <c r="A2080" t="str">
        <f>"9214.0"</f>
        <v>9214.0</v>
      </c>
      <c r="B2080" t="str">
        <f>"Trabalhador não qualificado da floricultura e horticultura"</f>
        <v>Trabalhador não qualificado da floricultura e horticultura</v>
      </c>
      <c r="C2080" t="s">
        <v>2549</v>
      </c>
    </row>
    <row r="2081" spans="1:3" x14ac:dyDescent="0.25">
      <c r="A2081" t="str">
        <f>"9215"</f>
        <v>9215</v>
      </c>
      <c r="B2081" t="str">
        <f>"Trabalhador não qualificado da floresta "</f>
        <v xml:space="preserve">Trabalhador não qualificado da floresta </v>
      </c>
      <c r="C2081" t="s">
        <v>2550</v>
      </c>
    </row>
    <row r="2082" spans="1:3" x14ac:dyDescent="0.25">
      <c r="A2082" t="str">
        <f>"9215.0"</f>
        <v>9215.0</v>
      </c>
      <c r="B2082" t="str">
        <f>"Trabalhador não qualificado da floresta "</f>
        <v xml:space="preserve">Trabalhador não qualificado da floresta </v>
      </c>
      <c r="C2082" t="s">
        <v>2551</v>
      </c>
    </row>
    <row r="2083" spans="1:3" x14ac:dyDescent="0.25">
      <c r="A2083" t="str">
        <f>"9216"</f>
        <v>9216</v>
      </c>
      <c r="B2083" t="str">
        <f>"Trabalhadores não qualificados, da pesca e aquicultura"</f>
        <v>Trabalhadores não qualificados, da pesca e aquicultura</v>
      </c>
      <c r="C2083" t="s">
        <v>2552</v>
      </c>
    </row>
    <row r="2084" spans="1:3" x14ac:dyDescent="0.25">
      <c r="A2084" t="str">
        <f>"9216.1"</f>
        <v>9216.1</v>
      </c>
      <c r="B2084" t="str">
        <f>"Trabalhador não qualificado da pesca"</f>
        <v>Trabalhador não qualificado da pesca</v>
      </c>
      <c r="C2084" t="s">
        <v>2553</v>
      </c>
    </row>
    <row r="2085" spans="1:3" x14ac:dyDescent="0.25">
      <c r="A2085" t="str">
        <f>"9216.2"</f>
        <v>9216.2</v>
      </c>
      <c r="B2085" t="str">
        <f>"Trabalhador não qualificado da aquicultura"</f>
        <v>Trabalhador não qualificado da aquicultura</v>
      </c>
      <c r="C2085" t="s">
        <v>2554</v>
      </c>
    </row>
    <row r="2086" spans="1:3" x14ac:dyDescent="0.25">
      <c r="A2086" t="str">
        <f>"93"</f>
        <v>93</v>
      </c>
      <c r="B2086" t="str">
        <f>"Trabalhadores não qualificados da indústria extractiva, construção, indústria transformadora e transportes"</f>
        <v>Trabalhadores não qualificados da indústria extractiva, construção, indústria transformadora e transportes</v>
      </c>
      <c r="C2086" t="s">
        <v>2555</v>
      </c>
    </row>
    <row r="2087" spans="1:3" x14ac:dyDescent="0.25">
      <c r="A2087" t="str">
        <f>"931"</f>
        <v>931</v>
      </c>
      <c r="B2087" t="str">
        <f>"Trabalhadores não qualificados da indústria extractiva e construção"</f>
        <v>Trabalhadores não qualificados da indústria extractiva e construção</v>
      </c>
      <c r="C2087" t="s">
        <v>2556</v>
      </c>
    </row>
    <row r="2088" spans="1:3" x14ac:dyDescent="0.25">
      <c r="A2088" t="str">
        <f>"9311"</f>
        <v>9311</v>
      </c>
      <c r="B2088" t="str">
        <f>"Trabalhadores não qualificados das minas e pedreiras "</f>
        <v xml:space="preserve">Trabalhadores não qualificados das minas e pedreiras </v>
      </c>
      <c r="C2088" t="s">
        <v>2557</v>
      </c>
    </row>
    <row r="2089" spans="1:3" x14ac:dyDescent="0.25">
      <c r="A2089" t="str">
        <f>"9311.1"</f>
        <v>9311.1</v>
      </c>
      <c r="B2089" t="str">
        <f>"Trabalhador não qualificado das minas"</f>
        <v>Trabalhador não qualificado das minas</v>
      </c>
      <c r="C2089" t="s">
        <v>2558</v>
      </c>
    </row>
    <row r="2090" spans="1:3" x14ac:dyDescent="0.25">
      <c r="A2090" t="str">
        <f>"9311.2"</f>
        <v>9311.2</v>
      </c>
      <c r="B2090" t="str">
        <f>"Trabalhador não qualificado das pedreiras"</f>
        <v>Trabalhador não qualificado das pedreiras</v>
      </c>
      <c r="C2090" t="s">
        <v>2559</v>
      </c>
    </row>
    <row r="2091" spans="1:3" x14ac:dyDescent="0.25">
      <c r="A2091" t="str">
        <f>"9312"</f>
        <v>9312</v>
      </c>
      <c r="B2091" t="str">
        <f>"Trabalhador não qualificado de engenharia civil "</f>
        <v xml:space="preserve">Trabalhador não qualificado de engenharia civil </v>
      </c>
      <c r="C2091" t="s">
        <v>2560</v>
      </c>
    </row>
    <row r="2092" spans="1:3" x14ac:dyDescent="0.25">
      <c r="A2092" t="str">
        <f>"9312.0"</f>
        <v>9312.0</v>
      </c>
      <c r="B2092" t="str">
        <f>"Trabalhador não qualificado de engenharia civil "</f>
        <v xml:space="preserve">Trabalhador não qualificado de engenharia civil </v>
      </c>
      <c r="C2092" t="s">
        <v>2561</v>
      </c>
    </row>
    <row r="2093" spans="1:3" x14ac:dyDescent="0.25">
      <c r="A2093" t="str">
        <f>"9313"</f>
        <v>9313</v>
      </c>
      <c r="B2093" t="str">
        <f>"Trabalhador não qualificado da construção de edifícios "</f>
        <v xml:space="preserve">Trabalhador não qualificado da construção de edifícios </v>
      </c>
      <c r="C2093" t="s">
        <v>2562</v>
      </c>
    </row>
    <row r="2094" spans="1:3" x14ac:dyDescent="0.25">
      <c r="A2094" t="str">
        <f>"9313.0"</f>
        <v>9313.0</v>
      </c>
      <c r="B2094" t="str">
        <f>"Trabalhador não qualificado da construção de edifícios "</f>
        <v xml:space="preserve">Trabalhador não qualificado da construção de edifícios </v>
      </c>
      <c r="C2094" t="s">
        <v>2563</v>
      </c>
    </row>
    <row r="2095" spans="1:3" x14ac:dyDescent="0.25">
      <c r="A2095" t="str">
        <f>"932"</f>
        <v>932</v>
      </c>
      <c r="B2095" t="str">
        <f>"Trabalhadores não qualificados da indústria transformadora "</f>
        <v xml:space="preserve">Trabalhadores não qualificados da indústria transformadora </v>
      </c>
      <c r="C2095" t="s">
        <v>2564</v>
      </c>
    </row>
    <row r="2096" spans="1:3" x14ac:dyDescent="0.25">
      <c r="A2096" t="str">
        <f>"9321"</f>
        <v>9321</v>
      </c>
      <c r="B2096" t="str">
        <f>"Embalador manual da indústria transformadora"</f>
        <v>Embalador manual da indústria transformadora</v>
      </c>
      <c r="C2096" t="s">
        <v>2565</v>
      </c>
    </row>
    <row r="2097" spans="1:3" x14ac:dyDescent="0.25">
      <c r="A2097" t="str">
        <f>"9321.0"</f>
        <v>9321.0</v>
      </c>
      <c r="B2097" t="str">
        <f>"Embalador manual da indústria transformadora"</f>
        <v>Embalador manual da indústria transformadora</v>
      </c>
      <c r="C2097" t="s">
        <v>2566</v>
      </c>
    </row>
    <row r="2098" spans="1:3" x14ac:dyDescent="0.25">
      <c r="A2098" t="str">
        <f>"9329"</f>
        <v>9329</v>
      </c>
      <c r="B2098" t="str">
        <f>"Outros trabalhadores não qualificados da indústria transformador"</f>
        <v>Outros trabalhadores não qualificados da indústria transformador</v>
      </c>
      <c r="C2098" t="s">
        <v>2567</v>
      </c>
    </row>
    <row r="2099" spans="1:3" x14ac:dyDescent="0.25">
      <c r="A2099" t="str">
        <f>"9329.0"</f>
        <v>9329.0</v>
      </c>
      <c r="B2099" t="str">
        <f>"Outros trabalhadores não qualificados da indústria transformadora"</f>
        <v>Outros trabalhadores não qualificados da indústria transformadora</v>
      </c>
      <c r="C2099" t="s">
        <v>2568</v>
      </c>
    </row>
    <row r="2100" spans="1:3" x14ac:dyDescent="0.25">
      <c r="A2100" t="str">
        <f>"933"</f>
        <v>933</v>
      </c>
      <c r="B2100" t="str">
        <f>"Trabalhadores não qualificados de apoio, aos transportes e armazenagem"</f>
        <v>Trabalhadores não qualificados de apoio, aos transportes e armazenagem</v>
      </c>
      <c r="C2100" t="s">
        <v>2569</v>
      </c>
    </row>
    <row r="2101" spans="1:3" x14ac:dyDescent="0.25">
      <c r="A2101" t="str">
        <f>"9331"</f>
        <v>9331</v>
      </c>
      <c r="B2101" t="str">
        <f>"Condutor de veículos accionados à mão ou ao pé"</f>
        <v>Condutor de veículos accionados à mão ou ao pé</v>
      </c>
      <c r="C2101" t="s">
        <v>2570</v>
      </c>
    </row>
    <row r="2102" spans="1:3" x14ac:dyDescent="0.25">
      <c r="A2102" t="str">
        <f>"9331.0"</f>
        <v>9331.0</v>
      </c>
      <c r="B2102" t="str">
        <f>"Condutor de veículos accionados à mão ou ao pé"</f>
        <v>Condutor de veículos accionados à mão ou ao pé</v>
      </c>
      <c r="C2102" t="s">
        <v>2571</v>
      </c>
    </row>
    <row r="2103" spans="1:3" x14ac:dyDescent="0.25">
      <c r="A2103" t="str">
        <f>"9332"</f>
        <v>9332</v>
      </c>
      <c r="B2103" t="str">
        <f>"Condutor de veículos de tracção animal"</f>
        <v>Condutor de veículos de tracção animal</v>
      </c>
      <c r="C2103" t="s">
        <v>2572</v>
      </c>
    </row>
    <row r="2104" spans="1:3" x14ac:dyDescent="0.25">
      <c r="A2104" t="str">
        <f>"9332.0"</f>
        <v>9332.0</v>
      </c>
      <c r="B2104" t="str">
        <f>"Condutor de veículos de tracção animal"</f>
        <v>Condutor de veículos de tracção animal</v>
      </c>
      <c r="C2104" t="s">
        <v>2573</v>
      </c>
    </row>
    <row r="2105" spans="1:3" x14ac:dyDescent="0.25">
      <c r="A2105" t="str">
        <f>"9333"</f>
        <v>9333</v>
      </c>
      <c r="B2105" t="str">
        <f>"Carregadores e descarregadores não qualificados de mercadorias"</f>
        <v>Carregadores e descarregadores não qualificados de mercadorias</v>
      </c>
      <c r="C2105" t="s">
        <v>2574</v>
      </c>
    </row>
    <row r="2106" spans="1:3" x14ac:dyDescent="0.25">
      <c r="A2106" t="str">
        <f>"9333.0"</f>
        <v>9333.0</v>
      </c>
      <c r="B2106" t="str">
        <f>"Carregadores e descarregadores não qualificados de mercadorias"</f>
        <v>Carregadores e descarregadores não qualificados de mercadorias</v>
      </c>
      <c r="C2106" t="s">
        <v>2575</v>
      </c>
    </row>
    <row r="2107" spans="1:3" x14ac:dyDescent="0.25">
      <c r="A2107" t="str">
        <f>"9334"</f>
        <v>9334</v>
      </c>
      <c r="B2107" t="str">
        <f>"Repositor de produtos em prateleiras"</f>
        <v>Repositor de produtos em prateleiras</v>
      </c>
      <c r="C2107" t="s">
        <v>2576</v>
      </c>
    </row>
    <row r="2108" spans="1:3" x14ac:dyDescent="0.25">
      <c r="A2108" t="str">
        <f>"9334.0"</f>
        <v>9334.0</v>
      </c>
      <c r="B2108" t="str">
        <f>"Repositor de produtos em prateleiras"</f>
        <v>Repositor de produtos em prateleiras</v>
      </c>
      <c r="C2108" t="s">
        <v>2577</v>
      </c>
    </row>
    <row r="2109" spans="1:3" x14ac:dyDescent="0.25">
      <c r="A2109" t="str">
        <f>"94"</f>
        <v>94</v>
      </c>
      <c r="B2109" t="str">
        <f>"Assistentes na preparação de refeições"</f>
        <v>Assistentes na preparação de refeições</v>
      </c>
      <c r="C2109" t="s">
        <v>2578</v>
      </c>
    </row>
    <row r="2110" spans="1:3" x14ac:dyDescent="0.25">
      <c r="A2110" t="str">
        <f>"941"</f>
        <v>941</v>
      </c>
      <c r="B2110" t="str">
        <f>"Assistentes na preparação de refeições"</f>
        <v>Assistentes na preparação de refeições</v>
      </c>
      <c r="C2110" t="s">
        <v>2579</v>
      </c>
    </row>
    <row r="2111" spans="1:3" x14ac:dyDescent="0.25">
      <c r="A2111" t="str">
        <f>"9411"</f>
        <v>9411</v>
      </c>
      <c r="B2111" t="str">
        <f>"Preparador de refeições rápidas"</f>
        <v>Preparador de refeições rápidas</v>
      </c>
      <c r="C2111" t="s">
        <v>2580</v>
      </c>
    </row>
    <row r="2112" spans="1:3" x14ac:dyDescent="0.25">
      <c r="A2112" t="str">
        <f>"9411.0"</f>
        <v>9411.0</v>
      </c>
      <c r="B2112" t="str">
        <f>"Preparador de refeições rápidas"</f>
        <v>Preparador de refeições rápidas</v>
      </c>
      <c r="C2112" t="s">
        <v>2581</v>
      </c>
    </row>
    <row r="2113" spans="1:3" x14ac:dyDescent="0.25">
      <c r="A2113" t="str">
        <f>"9412"</f>
        <v>9412</v>
      </c>
      <c r="B2113" t="str">
        <f>"Ajudante de cozinha"</f>
        <v>Ajudante de cozinha</v>
      </c>
      <c r="C2113" t="s">
        <v>2582</v>
      </c>
    </row>
    <row r="2114" spans="1:3" x14ac:dyDescent="0.25">
      <c r="A2114" t="str">
        <f>"9412.0"</f>
        <v>9412.0</v>
      </c>
      <c r="B2114" t="str">
        <f>"Ajudante de cozinha"</f>
        <v>Ajudante de cozinha</v>
      </c>
      <c r="C2114" t="s">
        <v>2583</v>
      </c>
    </row>
    <row r="2115" spans="1:3" x14ac:dyDescent="0.25">
      <c r="A2115" t="str">
        <f>"95"</f>
        <v>95</v>
      </c>
      <c r="B2115" t="str">
        <f>"Vendedores ambulantes (excepto de alimentos) e prestadores de serviços na rua"</f>
        <v>Vendedores ambulantes (excepto de alimentos) e prestadores de serviços na rua</v>
      </c>
      <c r="C2115" t="s">
        <v>2584</v>
      </c>
    </row>
    <row r="2116" spans="1:3" x14ac:dyDescent="0.25">
      <c r="A2116" t="str">
        <f>"951"</f>
        <v>951</v>
      </c>
      <c r="B2116" t="str">
        <f>"Prestador de serviços na rua"</f>
        <v>Prestador de serviços na rua</v>
      </c>
      <c r="C2116" t="s">
        <v>2585</v>
      </c>
    </row>
    <row r="2117" spans="1:3" x14ac:dyDescent="0.25">
      <c r="A2117" t="str">
        <f>"9510"</f>
        <v>9510</v>
      </c>
      <c r="B2117" t="str">
        <f>"Prestador de serviços na rua"</f>
        <v>Prestador de serviços na rua</v>
      </c>
      <c r="C2117" t="s">
        <v>2586</v>
      </c>
    </row>
    <row r="2118" spans="1:3" x14ac:dyDescent="0.25">
      <c r="A2118" t="str">
        <f>"9510.0"</f>
        <v>9510.0</v>
      </c>
      <c r="B2118" t="str">
        <f>"Prestador de serviços na rua"</f>
        <v>Prestador de serviços na rua</v>
      </c>
      <c r="C2118" t="s">
        <v>2587</v>
      </c>
    </row>
    <row r="2119" spans="1:3" x14ac:dyDescent="0.25">
      <c r="A2119" t="str">
        <f>"952"</f>
        <v>952</v>
      </c>
      <c r="B2119" t="str">
        <f>"Vendedor ambulante (excepto de alimentos) "</f>
        <v xml:space="preserve">Vendedor ambulante (excepto de alimentos) </v>
      </c>
      <c r="C2119" t="s">
        <v>2588</v>
      </c>
    </row>
    <row r="2120" spans="1:3" x14ac:dyDescent="0.25">
      <c r="A2120" t="str">
        <f>"9520"</f>
        <v>9520</v>
      </c>
      <c r="B2120" t="str">
        <f>"Vendedor ambulante (excepto de alimentos) "</f>
        <v xml:space="preserve">Vendedor ambulante (excepto de alimentos) </v>
      </c>
      <c r="C2120" t="s">
        <v>2589</v>
      </c>
    </row>
    <row r="2121" spans="1:3" x14ac:dyDescent="0.25">
      <c r="A2121" t="str">
        <f>"9520.0"</f>
        <v>9520.0</v>
      </c>
      <c r="B2121" t="str">
        <f>"Vendedor ambulante (excepto de alimentos) "</f>
        <v xml:space="preserve">Vendedor ambulante (excepto de alimentos) </v>
      </c>
      <c r="C2121" t="s">
        <v>2590</v>
      </c>
    </row>
    <row r="2122" spans="1:3" x14ac:dyDescent="0.25">
      <c r="A2122" t="str">
        <f>"96"</f>
        <v>96</v>
      </c>
      <c r="B2122" t="str">
        <f>"Trabalhadores dos resíduos e de outros serviços elementares "</f>
        <v xml:space="preserve">Trabalhadores dos resíduos e de outros serviços elementares </v>
      </c>
      <c r="C2122" t="s">
        <v>2591</v>
      </c>
    </row>
    <row r="2123" spans="1:3" x14ac:dyDescent="0.25">
      <c r="A2123" t="str">
        <f>"961"</f>
        <v>961</v>
      </c>
      <c r="B2123" t="str">
        <f>"Trabalhadores da recuperação de resíduos "</f>
        <v xml:space="preserve">Trabalhadores da recuperação de resíduos </v>
      </c>
      <c r="C2123" t="s">
        <v>2592</v>
      </c>
    </row>
    <row r="2124" spans="1:3" x14ac:dyDescent="0.25">
      <c r="A2124" t="str">
        <f>"9611"</f>
        <v>9611</v>
      </c>
      <c r="B2124" t="str">
        <f>"Trabalhador da recolha de resíduos"</f>
        <v>Trabalhador da recolha de resíduos</v>
      </c>
      <c r="C2124" t="s">
        <v>2593</v>
      </c>
    </row>
    <row r="2125" spans="1:3" x14ac:dyDescent="0.25">
      <c r="A2125" t="str">
        <f>"9611.0"</f>
        <v>9611.0</v>
      </c>
      <c r="B2125" t="str">
        <f>"Trabalhador da recolha de resíduos"</f>
        <v>Trabalhador da recolha de resíduos</v>
      </c>
      <c r="C2125" t="s">
        <v>2594</v>
      </c>
    </row>
    <row r="2126" spans="1:3" x14ac:dyDescent="0.25">
      <c r="A2126" t="str">
        <f>"9612"</f>
        <v>9612</v>
      </c>
      <c r="B2126" t="str">
        <f>"Trabalhador da triagem de resíduos"</f>
        <v>Trabalhador da triagem de resíduos</v>
      </c>
      <c r="C2126" t="s">
        <v>2595</v>
      </c>
    </row>
    <row r="2127" spans="1:3" x14ac:dyDescent="0.25">
      <c r="A2127" t="str">
        <f>"9612.0"</f>
        <v>9612.0</v>
      </c>
      <c r="B2127" t="str">
        <f>"Trabalhador da triagem de resíduos"</f>
        <v>Trabalhador da triagem de resíduos</v>
      </c>
      <c r="C2127" t="s">
        <v>2596</v>
      </c>
    </row>
    <row r="2128" spans="1:3" x14ac:dyDescent="0.25">
      <c r="A2128" t="str">
        <f>"9613"</f>
        <v>9613</v>
      </c>
      <c r="B2128" t="str">
        <f>"Cantoneiros de limpeza, empregados de lavabos e similares"</f>
        <v>Cantoneiros de limpeza, empregados de lavabos e similares</v>
      </c>
      <c r="C2128" t="s">
        <v>2597</v>
      </c>
    </row>
    <row r="2129" spans="1:3" x14ac:dyDescent="0.25">
      <c r="A2129" t="str">
        <f>"9613.1"</f>
        <v>9613.1</v>
      </c>
      <c r="B2129" t="str">
        <f>"Cantoneiro de limpeza"</f>
        <v>Cantoneiro de limpeza</v>
      </c>
      <c r="C2129" t="s">
        <v>2598</v>
      </c>
    </row>
    <row r="2130" spans="1:3" x14ac:dyDescent="0.25">
      <c r="A2130" t="str">
        <f>"9613.2"</f>
        <v>9613.2</v>
      </c>
      <c r="B2130" t="str">
        <f>"Empregado de lavabos e similares"</f>
        <v>Empregado de lavabos e similares</v>
      </c>
      <c r="C2130" t="s">
        <v>2599</v>
      </c>
    </row>
    <row r="2131" spans="1:3" x14ac:dyDescent="0.25">
      <c r="A2131" t="str">
        <f>"962"</f>
        <v>962</v>
      </c>
      <c r="B2131" t="str">
        <f>"Outras profissões elementares"</f>
        <v>Outras profissões elementares</v>
      </c>
      <c r="C2131" t="s">
        <v>2600</v>
      </c>
    </row>
    <row r="2132" spans="1:3" x14ac:dyDescent="0.25">
      <c r="A2132" t="str">
        <f>"9621"</f>
        <v>9621</v>
      </c>
      <c r="B2132" t="str">
        <f>"Estafetas, bagageiros e distribuidores "</f>
        <v xml:space="preserve">Estafetas, bagageiros e distribuidores </v>
      </c>
      <c r="C2132" t="s">
        <v>2601</v>
      </c>
    </row>
    <row r="2133" spans="1:3" x14ac:dyDescent="0.25">
      <c r="A2133" t="str">
        <f>"9621.1"</f>
        <v>9621.1</v>
      </c>
      <c r="B2133" t="str">
        <f>"Estafeta"</f>
        <v>Estafeta</v>
      </c>
      <c r="C2133" t="s">
        <v>2602</v>
      </c>
    </row>
    <row r="2134" spans="1:3" x14ac:dyDescent="0.25">
      <c r="A2134" t="str">
        <f>"9621.2"</f>
        <v>9621.2</v>
      </c>
      <c r="B2134" t="str">
        <f>"Bagageiro "</f>
        <v xml:space="preserve">Bagageiro </v>
      </c>
      <c r="C2134" t="s">
        <v>2603</v>
      </c>
    </row>
    <row r="2135" spans="1:3" x14ac:dyDescent="0.25">
      <c r="A2135" t="str">
        <f>"9621.3"</f>
        <v>9621.3</v>
      </c>
      <c r="B2135" t="str">
        <f>"Auxiliar de apoio administrativo (contínuo)"</f>
        <v>Auxiliar de apoio administrativo (contínuo)</v>
      </c>
      <c r="C2135" t="s">
        <v>2604</v>
      </c>
    </row>
    <row r="2136" spans="1:3" x14ac:dyDescent="0.25">
      <c r="A2136" t="str">
        <f>"9621.4"</f>
        <v>9621.4</v>
      </c>
      <c r="B2136" t="str">
        <f>"Distribuidor de mercadorias e similares"</f>
        <v>Distribuidor de mercadorias e similares</v>
      </c>
      <c r="C2136" t="s">
        <v>2605</v>
      </c>
    </row>
    <row r="2137" spans="1:3" x14ac:dyDescent="0.25">
      <c r="A2137" t="str">
        <f>"9622"</f>
        <v>9622</v>
      </c>
      <c r="B2137" t="str">
        <f>"Trabalhadores polivalentes"</f>
        <v>Trabalhadores polivalentes</v>
      </c>
      <c r="C2137" t="s">
        <v>2606</v>
      </c>
    </row>
    <row r="2138" spans="1:3" x14ac:dyDescent="0.25">
      <c r="A2138" t="str">
        <f>"9622.1"</f>
        <v>9622.1</v>
      </c>
      <c r="B2138" t="str">
        <f>"Colocador de anúncios (montador de anúncios) "</f>
        <v xml:space="preserve">Colocador de anúncios (montador de anúncios) </v>
      </c>
      <c r="C2138" t="s">
        <v>2607</v>
      </c>
    </row>
    <row r="2139" spans="1:3" x14ac:dyDescent="0.25">
      <c r="A2139" t="str">
        <f>"9622.2"</f>
        <v>9622.2</v>
      </c>
      <c r="B2139" t="str">
        <f>"Outros trabalhadores polivalentes"</f>
        <v>Outros trabalhadores polivalentes</v>
      </c>
      <c r="C2139" t="s">
        <v>2608</v>
      </c>
    </row>
    <row r="2140" spans="1:3" x14ac:dyDescent="0.25">
      <c r="A2140" t="str">
        <f>"9623"</f>
        <v>9623</v>
      </c>
      <c r="B2140" t="str">
        <f>"Leitores de contadores e colectores de dinheiro, em máquinas de venda automática, parquímetros e similares"</f>
        <v>Leitores de contadores e colectores de dinheiro, em máquinas de venda automática, parquímetros e similares</v>
      </c>
      <c r="C2140" t="s">
        <v>2609</v>
      </c>
    </row>
    <row r="2141" spans="1:3" x14ac:dyDescent="0.25">
      <c r="A2141" t="str">
        <f>"9623.1"</f>
        <v>9623.1</v>
      </c>
      <c r="B2141" t="str">
        <f>"Leitor de contadores"</f>
        <v>Leitor de contadores</v>
      </c>
      <c r="C2141" t="s">
        <v>2610</v>
      </c>
    </row>
    <row r="2142" spans="1:3" x14ac:dyDescent="0.25">
      <c r="A2142" t="str">
        <f>"9623.2"</f>
        <v>9623.2</v>
      </c>
      <c r="B2142" t="str">
        <f>"Colector de dinheiro em máquinas de venda automática, parquímetros e similares"</f>
        <v>Colector de dinheiro em máquinas de venda automática, parquímetros e similares</v>
      </c>
      <c r="C2142" t="s">
        <v>2611</v>
      </c>
    </row>
    <row r="2143" spans="1:3" x14ac:dyDescent="0.25">
      <c r="A2143" t="str">
        <f>"9624"</f>
        <v>9624</v>
      </c>
      <c r="B2143" t="str">
        <f>"Carregador de água e apanhador de lenha"</f>
        <v>Carregador de água e apanhador de lenha</v>
      </c>
      <c r="C2143" t="s">
        <v>2612</v>
      </c>
    </row>
    <row r="2144" spans="1:3" x14ac:dyDescent="0.25">
      <c r="A2144" t="str">
        <f>"9624.0"</f>
        <v>9624.0</v>
      </c>
      <c r="B2144" t="str">
        <f>"Carregador de água e apanhador de lenha"</f>
        <v>Carregador de água e apanhador de lenha</v>
      </c>
      <c r="C2144" t="s">
        <v>2613</v>
      </c>
    </row>
    <row r="2145" spans="1:3" x14ac:dyDescent="0.25">
      <c r="A2145" t="str">
        <f>"9629"</f>
        <v>9629</v>
      </c>
      <c r="B2145" t="str">
        <f>"Outras profissões elementares, n.e. "</f>
        <v xml:space="preserve">Outras profissões elementares, n.e. </v>
      </c>
      <c r="C2145" t="s">
        <v>2614</v>
      </c>
    </row>
    <row r="2146" spans="1:3" x14ac:dyDescent="0.25">
      <c r="A2146" t="str">
        <f>"9629.1"</f>
        <v>9629.1</v>
      </c>
      <c r="B2146" t="str">
        <f>"Coveiro"</f>
        <v>Coveiro</v>
      </c>
      <c r="C2146" t="s">
        <v>2615</v>
      </c>
    </row>
    <row r="2147" spans="1:3" x14ac:dyDescent="0.25">
      <c r="A2147" t="str">
        <f>"9629.2"</f>
        <v>9629.2</v>
      </c>
      <c r="B2147" t="str">
        <f>"Outras profissões elementares diversas, n.e."</f>
        <v>Outras profissões elementares diversas, n.e.</v>
      </c>
      <c r="C2147" t="s">
        <v>2616</v>
      </c>
    </row>
    <row r="2149" spans="1:3" x14ac:dyDescent="0.25">
      <c r="A2149" s="29" t="s">
        <v>1632</v>
      </c>
      <c r="B2149" s="30"/>
      <c r="C2149" s="30" t="s">
        <v>1</v>
      </c>
    </row>
    <row r="2150" spans="1:3" x14ac:dyDescent="0.25">
      <c r="A2150" s="1">
        <v>1</v>
      </c>
      <c r="B2150" t="s">
        <v>2617</v>
      </c>
      <c r="C2150" t="s">
        <v>2619</v>
      </c>
    </row>
    <row r="2151" spans="1:3" x14ac:dyDescent="0.25">
      <c r="A2151" s="1">
        <v>2</v>
      </c>
      <c r="B2151" t="s">
        <v>2618</v>
      </c>
      <c r="C2151" t="s">
        <v>2620</v>
      </c>
    </row>
    <row r="2152" spans="1:3" x14ac:dyDescent="0.25">
      <c r="A2152" s="1">
        <v>3</v>
      </c>
      <c r="B2152" t="s">
        <v>221</v>
      </c>
      <c r="C2152" t="s">
        <v>2621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82236a-f81d-4adf-89ee-b44db7e8d059" xsi:nil="true"/>
    <lcf76f155ced4ddcb4097134ff3c332f xmlns="a8160d3b-c62d-4035-96f8-a99bbf9464c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B2379C1BEFCF4EA76D8D1182019CA5" ma:contentTypeVersion="15" ma:contentTypeDescription="Criar um novo documento." ma:contentTypeScope="" ma:versionID="e2d9074579416c83ad1c66a472df4452">
  <xsd:schema xmlns:xsd="http://www.w3.org/2001/XMLSchema" xmlns:xs="http://www.w3.org/2001/XMLSchema" xmlns:p="http://schemas.microsoft.com/office/2006/metadata/properties" xmlns:ns2="a8160d3b-c62d-4035-96f8-a99bbf9464ca" xmlns:ns3="ec82236a-f81d-4adf-89ee-b44db7e8d059" targetNamespace="http://schemas.microsoft.com/office/2006/metadata/properties" ma:root="true" ma:fieldsID="c233d387ba92038994eb2584273db751" ns2:_="" ns3:_="">
    <xsd:import namespace="a8160d3b-c62d-4035-96f8-a99bbf9464ca"/>
    <xsd:import namespace="ec82236a-f81d-4adf-89ee-b44db7e8d05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60d3b-c62d-4035-96f8-a99bbf9464c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m" ma:readOnly="false" ma:fieldId="{5cf76f15-5ced-4ddc-b409-7134ff3c332f}" ma:taxonomyMulti="true" ma:sspId="7e059fca-019d-48b8-a0ae-cd375d06ab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2236a-f81d-4adf-89ee-b44db7e8d05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06ee53e-42a8-49ad-acb7-951fd2872c59}" ma:internalName="TaxCatchAll" ma:showField="CatchAllData" ma:web="ec82236a-f81d-4adf-89ee-b44db7e8d0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926AEC-356F-468F-B100-260F7827E6A2}">
  <ds:schemaRefs>
    <ds:schemaRef ds:uri="http://schemas.microsoft.com/office/2006/metadata/properties"/>
    <ds:schemaRef ds:uri="http://schemas.microsoft.com/office/infopath/2007/PartnerControls"/>
    <ds:schemaRef ds:uri="ec82236a-f81d-4adf-89ee-b44db7e8d059"/>
    <ds:schemaRef ds:uri="a8160d3b-c62d-4035-96f8-a99bbf9464ca"/>
  </ds:schemaRefs>
</ds:datastoreItem>
</file>

<file path=customXml/itemProps2.xml><?xml version="1.0" encoding="utf-8"?>
<ds:datastoreItem xmlns:ds="http://schemas.openxmlformats.org/officeDocument/2006/customXml" ds:itemID="{C678BFB4-7C6E-4234-A6AD-4C0F4A5EA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160d3b-c62d-4035-96f8-a99bbf9464ca"/>
    <ds:schemaRef ds:uri="ec82236a-f81d-4adf-89ee-b44db7e8d0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03B556-CF12-4ECE-8E29-4498BC2B14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Template</vt:lpstr>
      <vt:lpstr>TD</vt:lpstr>
      <vt:lpstr>Bolsas</vt:lpstr>
      <vt:lpstr>Medidas_Ativas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UMACE - PESSOAS 2030</dc:creator>
  <cp:lastModifiedBy>UMACE - PESSOAS 2030</cp:lastModifiedBy>
  <dcterms:created xsi:type="dcterms:W3CDTF">2025-02-19T22:06:43Z</dcterms:created>
  <dcterms:modified xsi:type="dcterms:W3CDTF">2025-03-26T22:00:10Z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0x0101007AB2379C1BEFCF4EA76D8D1182019CA5</vt:lpwstr>
  </property>
  <property fmtid="{D5CDD505-2E9C-101B-9397-08002B2CF9AE}" pid="3" name="MediaServiceImageTags">
    <vt:lpwstr/>
  </property>
</Properties>
</file>